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AlbertRiveraSentiment\Fecha2\"/>
    </mc:Choice>
  </mc:AlternateContent>
  <xr:revisionPtr revIDLastSave="0" documentId="13_ncr:1_{E147852E-DF5C-43AE-A7F1-5554C66B59B5}" xr6:coauthVersionLast="40" xr6:coauthVersionMax="40" xr10:uidLastSave="{00000000-0000-0000-0000-000000000000}"/>
  <bookViews>
    <workbookView xWindow="0" yWindow="0" windowWidth="23040" windowHeight="8412" xr2:uid="{00000000-000D-0000-FFFF-FFFF00000000}"/>
  </bookViews>
  <sheets>
    <sheet name="Albert Rivera langes -filterret" sheetId="4"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478" i="4" l="1"/>
  <c r="K2478" i="4"/>
  <c r="E2478" i="4"/>
  <c r="B2478" i="4"/>
  <c r="U2477" i="4"/>
  <c r="K2477" i="4"/>
  <c r="E2477" i="4"/>
  <c r="B2477" i="4"/>
  <c r="U2476" i="4"/>
  <c r="K2476" i="4"/>
  <c r="E2476" i="4"/>
  <c r="B2476" i="4"/>
  <c r="U2475" i="4"/>
  <c r="K2475" i="4"/>
  <c r="E2475" i="4"/>
  <c r="B2475" i="4"/>
  <c r="U2474" i="4"/>
  <c r="K2474" i="4"/>
  <c r="E2474" i="4"/>
  <c r="B2474" i="4"/>
  <c r="U2473" i="4"/>
  <c r="K2473" i="4"/>
  <c r="E2473" i="4"/>
  <c r="B2473" i="4"/>
  <c r="U2472" i="4"/>
  <c r="K2472" i="4"/>
  <c r="E2472" i="4"/>
  <c r="B2472" i="4"/>
  <c r="U2471" i="4"/>
  <c r="K2471" i="4"/>
  <c r="E2471" i="4"/>
  <c r="B2471" i="4"/>
  <c r="U2470" i="4"/>
  <c r="K2470" i="4"/>
  <c r="E2470" i="4"/>
  <c r="B2470" i="4"/>
  <c r="U2469" i="4"/>
  <c r="K2469" i="4"/>
  <c r="E2469" i="4"/>
  <c r="B2469" i="4"/>
  <c r="U2468" i="4"/>
  <c r="K2468" i="4"/>
  <c r="H2468" i="4"/>
  <c r="E2468" i="4"/>
  <c r="B2468" i="4"/>
  <c r="U2467" i="4"/>
  <c r="K2467" i="4"/>
  <c r="E2467" i="4"/>
  <c r="B2467" i="4"/>
  <c r="U2466" i="4"/>
  <c r="K2466" i="4"/>
  <c r="E2466" i="4"/>
  <c r="B2466" i="4"/>
  <c r="U2465" i="4"/>
  <c r="K2465" i="4"/>
  <c r="E2465" i="4"/>
  <c r="B2465" i="4"/>
  <c r="U2464" i="4"/>
  <c r="K2464" i="4"/>
  <c r="E2464" i="4"/>
  <c r="B2464" i="4"/>
  <c r="U2463" i="4"/>
  <c r="K2463" i="4"/>
  <c r="E2463" i="4"/>
  <c r="B2463" i="4"/>
  <c r="U2462" i="4"/>
  <c r="K2462" i="4"/>
  <c r="E2462" i="4"/>
  <c r="B2462" i="4"/>
  <c r="U2461" i="4"/>
  <c r="K2461" i="4"/>
  <c r="E2461" i="4"/>
  <c r="B2461" i="4"/>
  <c r="U2460" i="4"/>
  <c r="K2460" i="4"/>
  <c r="E2460" i="4"/>
  <c r="B2460" i="4"/>
  <c r="U2459" i="4"/>
  <c r="K2459" i="4"/>
  <c r="E2459" i="4"/>
  <c r="B2459" i="4"/>
  <c r="U2458" i="4"/>
  <c r="K2458" i="4"/>
  <c r="E2458" i="4"/>
  <c r="B2458" i="4"/>
  <c r="U2457" i="4"/>
  <c r="K2457" i="4"/>
  <c r="E2457" i="4"/>
  <c r="B2457" i="4"/>
  <c r="U2456" i="4"/>
  <c r="K2456" i="4"/>
  <c r="E2456" i="4"/>
  <c r="B2456" i="4"/>
  <c r="U2455" i="4"/>
  <c r="K2455" i="4"/>
  <c r="E2455" i="4"/>
  <c r="B2455" i="4"/>
  <c r="U2454" i="4"/>
  <c r="K2454" i="4"/>
  <c r="E2454" i="4"/>
  <c r="B2454" i="4"/>
  <c r="U2453" i="4"/>
  <c r="K2453" i="4"/>
  <c r="E2453" i="4"/>
  <c r="B2453" i="4"/>
  <c r="U2452" i="4"/>
  <c r="K2452" i="4"/>
  <c r="E2452" i="4"/>
  <c r="B2452" i="4"/>
  <c r="U2451" i="4"/>
  <c r="K2451" i="4"/>
  <c r="E2451" i="4"/>
  <c r="B2451" i="4"/>
  <c r="U2450" i="4"/>
  <c r="K2450" i="4"/>
  <c r="E2450" i="4"/>
  <c r="B2450" i="4"/>
  <c r="U2449" i="4"/>
  <c r="K2449" i="4"/>
  <c r="E2449" i="4"/>
  <c r="B2449" i="4"/>
  <c r="U2448" i="4"/>
  <c r="K2448" i="4"/>
  <c r="E2448" i="4"/>
  <c r="B2448" i="4"/>
  <c r="U2447" i="4"/>
  <c r="K2447" i="4"/>
  <c r="E2447" i="4"/>
  <c r="B2447" i="4"/>
  <c r="U2446" i="4"/>
  <c r="K2446" i="4"/>
  <c r="E2446" i="4"/>
  <c r="B2446" i="4"/>
  <c r="U2445" i="4"/>
  <c r="K2445" i="4"/>
  <c r="E2445" i="4"/>
  <c r="B2445" i="4"/>
  <c r="U2444" i="4"/>
  <c r="K2444" i="4"/>
  <c r="E2444" i="4"/>
  <c r="B2444" i="4"/>
  <c r="U2443" i="4"/>
  <c r="K2443" i="4"/>
  <c r="E2443" i="4"/>
  <c r="B2443" i="4"/>
  <c r="U2442" i="4"/>
  <c r="K2442" i="4"/>
  <c r="E2442" i="4"/>
  <c r="B2442" i="4"/>
  <c r="U2441" i="4"/>
  <c r="K2441" i="4"/>
  <c r="E2441" i="4"/>
  <c r="B2441" i="4"/>
  <c r="U2440" i="4"/>
  <c r="K2440" i="4"/>
  <c r="E2440" i="4"/>
  <c r="B2440" i="4"/>
  <c r="U2439" i="4"/>
  <c r="K2439" i="4"/>
  <c r="E2439" i="4"/>
  <c r="B2439" i="4"/>
  <c r="U2438" i="4"/>
  <c r="K2438" i="4"/>
  <c r="E2438" i="4"/>
  <c r="B2438" i="4"/>
  <c r="U2437" i="4"/>
  <c r="K2437" i="4"/>
  <c r="E2437" i="4"/>
  <c r="B2437" i="4"/>
  <c r="U2436" i="4"/>
  <c r="K2436" i="4"/>
  <c r="E2436" i="4"/>
  <c r="B2436" i="4"/>
  <c r="U2435" i="4"/>
  <c r="K2435" i="4"/>
  <c r="E2435" i="4"/>
  <c r="B2435" i="4"/>
  <c r="U2434" i="4"/>
  <c r="K2434" i="4"/>
  <c r="E2434" i="4"/>
  <c r="B2434" i="4"/>
  <c r="U2433" i="4"/>
  <c r="K2433" i="4"/>
  <c r="E2433" i="4"/>
  <c r="B2433" i="4"/>
  <c r="U2432" i="4"/>
  <c r="K2432" i="4"/>
  <c r="E2432" i="4"/>
  <c r="B2432" i="4"/>
  <c r="U2431" i="4"/>
  <c r="K2431" i="4"/>
  <c r="E2431" i="4"/>
  <c r="B2431" i="4"/>
  <c r="U2430" i="4"/>
  <c r="K2430" i="4"/>
  <c r="E2430" i="4"/>
  <c r="B2430" i="4"/>
  <c r="U2429" i="4"/>
  <c r="K2429" i="4"/>
  <c r="E2429" i="4"/>
  <c r="B2429" i="4"/>
  <c r="U2428" i="4"/>
  <c r="K2428" i="4"/>
  <c r="E2428" i="4"/>
  <c r="B2428" i="4"/>
  <c r="U2427" i="4"/>
  <c r="K2427" i="4"/>
  <c r="E2427" i="4"/>
  <c r="B2427" i="4"/>
  <c r="U2426" i="4"/>
  <c r="K2426" i="4"/>
  <c r="E2426" i="4"/>
  <c r="B2426" i="4"/>
  <c r="U2425" i="4"/>
  <c r="K2425" i="4"/>
  <c r="E2425" i="4"/>
  <c r="B2425" i="4"/>
  <c r="U2424" i="4"/>
  <c r="K2424" i="4"/>
  <c r="E2424" i="4"/>
  <c r="B2424" i="4"/>
  <c r="U2423" i="4"/>
  <c r="K2423" i="4"/>
  <c r="E2423" i="4"/>
  <c r="B2423" i="4"/>
  <c r="U2422" i="4"/>
  <c r="K2422" i="4"/>
  <c r="E2422" i="4"/>
  <c r="B2422" i="4"/>
  <c r="U2421" i="4"/>
  <c r="K2421" i="4"/>
  <c r="E2421" i="4"/>
  <c r="B2421" i="4"/>
  <c r="U2420" i="4"/>
  <c r="K2420" i="4"/>
  <c r="E2420" i="4"/>
  <c r="B2420" i="4"/>
  <c r="U2419" i="4"/>
  <c r="K2419" i="4"/>
  <c r="E2419" i="4"/>
  <c r="B2419" i="4"/>
  <c r="U2418" i="4"/>
  <c r="K2418" i="4"/>
  <c r="E2418" i="4"/>
  <c r="B2418" i="4"/>
  <c r="U2417" i="4"/>
  <c r="K2417" i="4"/>
  <c r="E2417" i="4"/>
  <c r="B2417" i="4"/>
  <c r="U2416" i="4"/>
  <c r="K2416" i="4"/>
  <c r="E2416" i="4"/>
  <c r="B2416" i="4"/>
  <c r="U2415" i="4"/>
  <c r="K2415" i="4"/>
  <c r="E2415" i="4"/>
  <c r="B2415" i="4"/>
  <c r="U2414" i="4"/>
  <c r="K2414" i="4"/>
  <c r="E2414" i="4"/>
  <c r="B2414" i="4"/>
  <c r="U2413" i="4"/>
  <c r="K2413" i="4"/>
  <c r="E2413" i="4"/>
  <c r="B2413" i="4"/>
  <c r="U2412" i="4"/>
  <c r="K2412" i="4"/>
  <c r="E2412" i="4"/>
  <c r="B2412" i="4"/>
  <c r="U2411" i="4"/>
  <c r="K2411" i="4"/>
  <c r="E2411" i="4"/>
  <c r="B2411" i="4"/>
  <c r="U2410" i="4"/>
  <c r="K2410" i="4"/>
  <c r="E2410" i="4"/>
  <c r="B2410" i="4"/>
  <c r="U2409" i="4"/>
  <c r="K2409" i="4"/>
  <c r="E2409" i="4"/>
  <c r="B2409" i="4"/>
  <c r="U2408" i="4"/>
  <c r="K2408" i="4"/>
  <c r="E2408" i="4"/>
  <c r="B2408" i="4"/>
  <c r="U2407" i="4"/>
  <c r="K2407" i="4"/>
  <c r="E2407" i="4"/>
  <c r="B2407" i="4"/>
  <c r="U2406" i="4"/>
  <c r="K2406" i="4"/>
  <c r="E2406" i="4"/>
  <c r="B2406" i="4"/>
  <c r="U2405" i="4"/>
  <c r="K2405" i="4"/>
  <c r="E2405" i="4"/>
  <c r="B2405" i="4"/>
  <c r="U2404" i="4"/>
  <c r="K2404" i="4"/>
  <c r="E2404" i="4"/>
  <c r="B2404" i="4"/>
  <c r="U2403" i="4"/>
  <c r="K2403" i="4"/>
  <c r="E2403" i="4"/>
  <c r="B2403" i="4"/>
  <c r="U2402" i="4"/>
  <c r="K2402" i="4"/>
  <c r="E2402" i="4"/>
  <c r="B2402" i="4"/>
  <c r="U2401" i="4"/>
  <c r="K2401" i="4"/>
  <c r="E2401" i="4"/>
  <c r="B2401" i="4"/>
  <c r="U2400" i="4"/>
  <c r="K2400" i="4"/>
  <c r="E2400" i="4"/>
  <c r="B2400" i="4"/>
  <c r="U2399" i="4"/>
  <c r="K2399" i="4"/>
  <c r="E2399" i="4"/>
  <c r="B2399" i="4"/>
  <c r="U2398" i="4"/>
  <c r="K2398" i="4"/>
  <c r="E2398" i="4"/>
  <c r="B2398" i="4"/>
  <c r="U2397" i="4"/>
  <c r="K2397" i="4"/>
  <c r="E2397" i="4"/>
  <c r="B2397" i="4"/>
  <c r="U2396" i="4"/>
  <c r="K2396" i="4"/>
  <c r="E2396" i="4"/>
  <c r="B2396" i="4"/>
  <c r="U2395" i="4"/>
  <c r="K2395" i="4"/>
  <c r="E2395" i="4"/>
  <c r="B2395" i="4"/>
  <c r="U2394" i="4"/>
  <c r="K2394" i="4"/>
  <c r="E2394" i="4"/>
  <c r="B2394" i="4"/>
  <c r="U2393" i="4"/>
  <c r="K2393" i="4"/>
  <c r="E2393" i="4"/>
  <c r="B2393" i="4"/>
  <c r="U2392" i="4"/>
  <c r="K2392" i="4"/>
  <c r="E2392" i="4"/>
  <c r="B2392" i="4"/>
  <c r="U2391" i="4"/>
  <c r="K2391" i="4"/>
  <c r="E2391" i="4"/>
  <c r="B2391" i="4"/>
  <c r="U2390" i="4"/>
  <c r="K2390" i="4"/>
  <c r="E2390" i="4"/>
  <c r="B2390" i="4"/>
  <c r="U2389" i="4"/>
  <c r="K2389" i="4"/>
  <c r="E2389" i="4"/>
  <c r="B2389" i="4"/>
  <c r="U2388" i="4"/>
  <c r="K2388" i="4"/>
  <c r="E2388" i="4"/>
  <c r="B2388" i="4"/>
  <c r="U2387" i="4"/>
  <c r="K2387" i="4"/>
  <c r="E2387" i="4"/>
  <c r="B2387" i="4"/>
  <c r="U2386" i="4"/>
  <c r="K2386" i="4"/>
  <c r="E2386" i="4"/>
  <c r="B2386" i="4"/>
  <c r="U2385" i="4"/>
  <c r="K2385" i="4"/>
  <c r="E2385" i="4"/>
  <c r="B2385" i="4"/>
  <c r="U2384" i="4"/>
  <c r="K2384" i="4"/>
  <c r="E2384" i="4"/>
  <c r="B2384" i="4"/>
  <c r="U2383" i="4"/>
  <c r="K2383" i="4"/>
  <c r="E2383" i="4"/>
  <c r="B2383" i="4"/>
  <c r="U2382" i="4"/>
  <c r="K2382" i="4"/>
  <c r="E2382" i="4"/>
  <c r="B2382" i="4"/>
  <c r="U2381" i="4"/>
  <c r="K2381" i="4"/>
  <c r="E2381" i="4"/>
  <c r="B2381" i="4"/>
  <c r="U2380" i="4"/>
  <c r="K2380" i="4"/>
  <c r="E2380" i="4"/>
  <c r="B2380" i="4"/>
  <c r="U2379" i="4"/>
  <c r="K2379" i="4"/>
  <c r="E2379" i="4"/>
  <c r="B2379" i="4"/>
  <c r="U2378" i="4"/>
  <c r="K2378" i="4"/>
  <c r="E2378" i="4"/>
  <c r="B2378" i="4"/>
  <c r="U2377" i="4"/>
  <c r="K2377" i="4"/>
  <c r="E2377" i="4"/>
  <c r="B2377" i="4"/>
  <c r="U2376" i="4"/>
  <c r="K2376" i="4"/>
  <c r="E2376" i="4"/>
  <c r="B2376" i="4"/>
  <c r="U2375" i="4"/>
  <c r="K2375" i="4"/>
  <c r="E2375" i="4"/>
  <c r="B2375" i="4"/>
  <c r="U2374" i="4"/>
  <c r="K2374" i="4"/>
  <c r="E2374" i="4"/>
  <c r="B2374" i="4"/>
  <c r="U2373" i="4"/>
  <c r="K2373" i="4"/>
  <c r="E2373" i="4"/>
  <c r="B2373" i="4"/>
  <c r="U2372" i="4"/>
  <c r="K2372" i="4"/>
  <c r="E2372" i="4"/>
  <c r="B2372" i="4"/>
  <c r="U2371" i="4"/>
  <c r="K2371" i="4"/>
  <c r="E2371" i="4"/>
  <c r="B2371" i="4"/>
  <c r="U2370" i="4"/>
  <c r="K2370" i="4"/>
  <c r="E2370" i="4"/>
  <c r="B2370" i="4"/>
  <c r="U2369" i="4"/>
  <c r="K2369" i="4"/>
  <c r="E2369" i="4"/>
  <c r="B2369" i="4"/>
  <c r="U2368" i="4"/>
  <c r="K2368" i="4"/>
  <c r="E2368" i="4"/>
  <c r="B2368" i="4"/>
  <c r="U2367" i="4"/>
  <c r="K2367" i="4"/>
  <c r="E2367" i="4"/>
  <c r="B2367" i="4"/>
  <c r="U2366" i="4"/>
  <c r="K2366" i="4"/>
  <c r="E2366" i="4"/>
  <c r="B2366" i="4"/>
  <c r="U2365" i="4"/>
  <c r="K2365" i="4"/>
  <c r="E2365" i="4"/>
  <c r="B2365" i="4"/>
  <c r="U2364" i="4"/>
  <c r="K2364" i="4"/>
  <c r="E2364" i="4"/>
  <c r="B2364" i="4"/>
  <c r="U2363" i="4"/>
  <c r="K2363" i="4"/>
  <c r="E2363" i="4"/>
  <c r="B2363" i="4"/>
  <c r="U2362" i="4"/>
  <c r="K2362" i="4"/>
  <c r="E2362" i="4"/>
  <c r="B2362" i="4"/>
  <c r="U2361" i="4"/>
  <c r="K2361" i="4"/>
  <c r="E2361" i="4"/>
  <c r="B2361" i="4"/>
  <c r="U2360" i="4"/>
  <c r="K2360" i="4"/>
  <c r="E2360" i="4"/>
  <c r="B2360" i="4"/>
  <c r="U2359" i="4"/>
  <c r="K2359" i="4"/>
  <c r="E2359" i="4"/>
  <c r="B2359" i="4"/>
  <c r="U2358" i="4"/>
  <c r="K2358" i="4"/>
  <c r="E2358" i="4"/>
  <c r="B2358" i="4"/>
  <c r="U2357" i="4"/>
  <c r="K2357" i="4"/>
  <c r="E2357" i="4"/>
  <c r="B2357" i="4"/>
  <c r="U2356" i="4"/>
  <c r="K2356" i="4"/>
  <c r="E2356" i="4"/>
  <c r="B2356" i="4"/>
  <c r="U2355" i="4"/>
  <c r="K2355" i="4"/>
  <c r="E2355" i="4"/>
  <c r="B2355" i="4"/>
  <c r="U2354" i="4"/>
  <c r="K2354" i="4"/>
  <c r="E2354" i="4"/>
  <c r="B2354" i="4"/>
  <c r="U2353" i="4"/>
  <c r="K2353" i="4"/>
  <c r="E2353" i="4"/>
  <c r="B2353" i="4"/>
  <c r="U2352" i="4"/>
  <c r="K2352" i="4"/>
  <c r="E2352" i="4"/>
  <c r="B2352" i="4"/>
  <c r="U2351" i="4"/>
  <c r="K2351" i="4"/>
  <c r="E2351" i="4"/>
  <c r="B2351" i="4"/>
  <c r="U2350" i="4"/>
  <c r="K2350" i="4"/>
  <c r="E2350" i="4"/>
  <c r="B2350" i="4"/>
  <c r="U2349" i="4"/>
  <c r="K2349" i="4"/>
  <c r="E2349" i="4"/>
  <c r="B2349" i="4"/>
  <c r="U2348" i="4"/>
  <c r="K2348" i="4"/>
  <c r="E2348" i="4"/>
  <c r="B2348" i="4"/>
  <c r="U2347" i="4"/>
  <c r="K2347" i="4"/>
  <c r="E2347" i="4"/>
  <c r="B2347" i="4"/>
  <c r="U2346" i="4"/>
  <c r="K2346" i="4"/>
  <c r="E2346" i="4"/>
  <c r="B2346" i="4"/>
  <c r="U2345" i="4"/>
  <c r="K2345" i="4"/>
  <c r="E2345" i="4"/>
  <c r="B2345" i="4"/>
  <c r="K2344" i="4"/>
  <c r="E2344" i="4"/>
  <c r="B2344" i="4"/>
  <c r="U2343" i="4"/>
  <c r="K2343" i="4"/>
  <c r="E2343" i="4"/>
  <c r="B2343" i="4"/>
  <c r="U2342" i="4"/>
  <c r="K2342" i="4"/>
  <c r="E2342" i="4"/>
  <c r="B2342" i="4"/>
  <c r="U2341" i="4"/>
  <c r="K2341" i="4"/>
  <c r="E2341" i="4"/>
  <c r="B2341" i="4"/>
  <c r="U2340" i="4"/>
  <c r="K2340" i="4"/>
  <c r="E2340" i="4"/>
  <c r="B2340" i="4"/>
  <c r="U2339" i="4"/>
  <c r="K2339" i="4"/>
  <c r="E2339" i="4"/>
  <c r="B2339" i="4"/>
  <c r="K2338" i="4"/>
  <c r="E2338" i="4"/>
  <c r="B2338" i="4"/>
  <c r="U2337" i="4"/>
  <c r="K2337" i="4"/>
  <c r="E2337" i="4"/>
  <c r="B2337" i="4"/>
  <c r="U2336" i="4"/>
  <c r="K2336" i="4"/>
  <c r="E2336" i="4"/>
  <c r="B2336" i="4"/>
  <c r="U2335" i="4"/>
  <c r="K2335" i="4"/>
  <c r="E2335" i="4"/>
  <c r="B2335" i="4"/>
  <c r="U2334" i="4"/>
  <c r="K2334" i="4"/>
  <c r="E2334" i="4"/>
  <c r="B2334" i="4"/>
  <c r="U2333" i="4"/>
  <c r="K2333" i="4"/>
  <c r="E2333" i="4"/>
  <c r="B2333" i="4"/>
  <c r="U2332" i="4"/>
  <c r="K2332" i="4"/>
  <c r="E2332" i="4"/>
  <c r="B2332" i="4"/>
  <c r="U2331" i="4"/>
  <c r="K2331" i="4"/>
  <c r="E2331" i="4"/>
  <c r="B2331" i="4"/>
  <c r="U2330" i="4"/>
  <c r="K2330" i="4"/>
  <c r="E2330" i="4"/>
  <c r="B2330" i="4"/>
  <c r="U2329" i="4"/>
  <c r="K2329" i="4"/>
  <c r="E2329" i="4"/>
  <c r="B2329" i="4"/>
  <c r="U2328" i="4"/>
  <c r="K2328" i="4"/>
  <c r="E2328" i="4"/>
  <c r="B2328" i="4"/>
  <c r="U2327" i="4"/>
  <c r="K2327" i="4"/>
  <c r="E2327" i="4"/>
  <c r="B2327" i="4"/>
  <c r="U2326" i="4"/>
  <c r="K2326" i="4"/>
  <c r="E2326" i="4"/>
  <c r="B2326" i="4"/>
  <c r="U2325" i="4"/>
  <c r="K2325" i="4"/>
  <c r="E2325" i="4"/>
  <c r="B2325" i="4"/>
  <c r="U2324" i="4"/>
  <c r="K2324" i="4"/>
  <c r="E2324" i="4"/>
  <c r="B2324" i="4"/>
  <c r="U2323" i="4"/>
  <c r="K2323" i="4"/>
  <c r="E2323" i="4"/>
  <c r="B2323" i="4"/>
  <c r="U2322" i="4"/>
  <c r="K2322" i="4"/>
  <c r="E2322" i="4"/>
  <c r="B2322" i="4"/>
  <c r="U2321" i="4"/>
  <c r="K2321" i="4"/>
  <c r="E2321" i="4"/>
  <c r="B2321" i="4"/>
  <c r="U2320" i="4"/>
  <c r="K2320" i="4"/>
  <c r="E2320" i="4"/>
  <c r="B2320" i="4"/>
  <c r="U2319" i="4"/>
  <c r="K2319" i="4"/>
  <c r="E2319" i="4"/>
  <c r="B2319" i="4"/>
  <c r="U2318" i="4"/>
  <c r="K2318" i="4"/>
  <c r="E2318" i="4"/>
  <c r="B2318" i="4"/>
  <c r="U2317" i="4"/>
  <c r="K2317" i="4"/>
  <c r="E2317" i="4"/>
  <c r="B2317" i="4"/>
  <c r="U2316" i="4"/>
  <c r="K2316" i="4"/>
  <c r="E2316" i="4"/>
  <c r="B2316" i="4"/>
  <c r="U2315" i="4"/>
  <c r="K2315" i="4"/>
  <c r="E2315" i="4"/>
  <c r="B2315" i="4"/>
  <c r="U2314" i="4"/>
  <c r="K2314" i="4"/>
  <c r="E2314" i="4"/>
  <c r="B2314" i="4"/>
  <c r="U2313" i="4"/>
  <c r="K2313" i="4"/>
  <c r="E2313" i="4"/>
  <c r="B2313" i="4"/>
  <c r="U2312" i="4"/>
  <c r="K2312" i="4"/>
  <c r="E2312" i="4"/>
  <c r="B2312" i="4"/>
  <c r="U2311" i="4"/>
  <c r="K2311" i="4"/>
  <c r="E2311" i="4"/>
  <c r="B2311" i="4"/>
  <c r="U2310" i="4"/>
  <c r="K2310" i="4"/>
  <c r="E2310" i="4"/>
  <c r="B2310" i="4"/>
  <c r="U2309" i="4"/>
  <c r="K2309" i="4"/>
  <c r="E2309" i="4"/>
  <c r="B2309" i="4"/>
  <c r="U2308" i="4"/>
  <c r="K2308" i="4"/>
  <c r="E2308" i="4"/>
  <c r="B2308" i="4"/>
  <c r="U2307" i="4"/>
  <c r="K2307" i="4"/>
  <c r="E2307" i="4"/>
  <c r="B2307" i="4"/>
  <c r="U2306" i="4"/>
  <c r="K2306" i="4"/>
  <c r="E2306" i="4"/>
  <c r="B2306" i="4"/>
  <c r="U2305" i="4"/>
  <c r="K2305" i="4"/>
  <c r="E2305" i="4"/>
  <c r="B2305" i="4"/>
  <c r="U2304" i="4"/>
  <c r="K2304" i="4"/>
  <c r="E2304" i="4"/>
  <c r="B2304" i="4"/>
  <c r="U2303" i="4"/>
  <c r="K2303" i="4"/>
  <c r="E2303" i="4"/>
  <c r="B2303" i="4"/>
  <c r="U2302" i="4"/>
  <c r="K2302" i="4"/>
  <c r="E2302" i="4"/>
  <c r="B2302" i="4"/>
  <c r="U2301" i="4"/>
  <c r="K2301" i="4"/>
  <c r="E2301" i="4"/>
  <c r="B2301" i="4"/>
  <c r="U2300" i="4"/>
  <c r="K2300" i="4"/>
  <c r="E2300" i="4"/>
  <c r="B2300" i="4"/>
  <c r="U2299" i="4"/>
  <c r="K2299" i="4"/>
  <c r="E2299" i="4"/>
  <c r="B2299" i="4"/>
  <c r="U2298" i="4"/>
  <c r="K2298" i="4"/>
  <c r="E2298" i="4"/>
  <c r="B2298" i="4"/>
  <c r="U2297" i="4"/>
  <c r="K2297" i="4"/>
  <c r="E2297" i="4"/>
  <c r="B2297" i="4"/>
  <c r="U2296" i="4"/>
  <c r="K2296" i="4"/>
  <c r="E2296" i="4"/>
  <c r="B2296" i="4"/>
  <c r="U2295" i="4"/>
  <c r="K2295" i="4"/>
  <c r="E2295" i="4"/>
  <c r="B2295" i="4"/>
  <c r="U2294" i="4"/>
  <c r="K2294" i="4"/>
  <c r="E2294" i="4"/>
  <c r="B2294" i="4"/>
  <c r="U2293" i="4"/>
  <c r="K2293" i="4"/>
  <c r="E2293" i="4"/>
  <c r="B2293" i="4"/>
  <c r="U2292" i="4"/>
  <c r="K2292" i="4"/>
  <c r="E2292" i="4"/>
  <c r="B2292" i="4"/>
  <c r="U2291" i="4"/>
  <c r="K2291" i="4"/>
  <c r="E2291" i="4"/>
  <c r="B2291" i="4"/>
  <c r="U2290" i="4"/>
  <c r="K2290" i="4"/>
  <c r="E2290" i="4"/>
  <c r="B2290" i="4"/>
  <c r="U2289" i="4"/>
  <c r="K2289" i="4"/>
  <c r="E2289" i="4"/>
  <c r="B2289" i="4"/>
  <c r="U2288" i="4"/>
  <c r="K2288" i="4"/>
  <c r="E2288" i="4"/>
  <c r="B2288" i="4"/>
  <c r="U2287" i="4"/>
  <c r="K2287" i="4"/>
  <c r="E2287" i="4"/>
  <c r="B2287" i="4"/>
  <c r="U2286" i="4"/>
  <c r="K2286" i="4"/>
  <c r="E2286" i="4"/>
  <c r="B2286" i="4"/>
  <c r="U2285" i="4"/>
  <c r="K2285" i="4"/>
  <c r="E2285" i="4"/>
  <c r="B2285" i="4"/>
  <c r="U2284" i="4"/>
  <c r="K2284" i="4"/>
  <c r="E2284" i="4"/>
  <c r="B2284" i="4"/>
  <c r="U2283" i="4"/>
  <c r="K2283" i="4"/>
  <c r="E2283" i="4"/>
  <c r="B2283" i="4"/>
  <c r="U2282" i="4"/>
  <c r="K2282" i="4"/>
  <c r="E2282" i="4"/>
  <c r="B2282" i="4"/>
  <c r="U2281" i="4"/>
  <c r="K2281" i="4"/>
  <c r="E2281" i="4"/>
  <c r="B2281" i="4"/>
  <c r="U2280" i="4"/>
  <c r="K2280" i="4"/>
  <c r="E2280" i="4"/>
  <c r="B2280" i="4"/>
  <c r="U2279" i="4"/>
  <c r="K2279" i="4"/>
  <c r="E2279" i="4"/>
  <c r="B2279" i="4"/>
  <c r="U2278" i="4"/>
  <c r="K2278" i="4"/>
  <c r="E2278" i="4"/>
  <c r="B2278" i="4"/>
  <c r="U2277" i="4"/>
  <c r="K2277" i="4"/>
  <c r="E2277" i="4"/>
  <c r="B2277" i="4"/>
  <c r="U2276" i="4"/>
  <c r="K2276" i="4"/>
  <c r="E2276" i="4"/>
  <c r="B2276" i="4"/>
  <c r="U2275" i="4"/>
  <c r="K2275" i="4"/>
  <c r="E2275" i="4"/>
  <c r="B2275" i="4"/>
  <c r="U2274" i="4"/>
  <c r="K2274" i="4"/>
  <c r="E2274" i="4"/>
  <c r="B2274" i="4"/>
  <c r="U2273" i="4"/>
  <c r="K2273" i="4"/>
  <c r="E2273" i="4"/>
  <c r="B2273" i="4"/>
  <c r="U2272" i="4"/>
  <c r="K2272" i="4"/>
  <c r="E2272" i="4"/>
  <c r="B2272" i="4"/>
  <c r="U2271" i="4"/>
  <c r="K2271" i="4"/>
  <c r="E2271" i="4"/>
  <c r="B2271" i="4"/>
  <c r="U2270" i="4"/>
  <c r="K2270" i="4"/>
  <c r="E2270" i="4"/>
  <c r="B2270" i="4"/>
  <c r="U2269" i="4"/>
  <c r="K2269" i="4"/>
  <c r="E2269" i="4"/>
  <c r="B2269" i="4"/>
  <c r="U2268" i="4"/>
  <c r="K2268" i="4"/>
  <c r="E2268" i="4"/>
  <c r="B2268" i="4"/>
  <c r="U2267" i="4"/>
  <c r="K2267" i="4"/>
  <c r="E2267" i="4"/>
  <c r="B2267" i="4"/>
  <c r="U2266" i="4"/>
  <c r="K2266" i="4"/>
  <c r="E2266" i="4"/>
  <c r="B2266" i="4"/>
  <c r="U2265" i="4"/>
  <c r="K2265" i="4"/>
  <c r="E2265" i="4"/>
  <c r="B2265" i="4"/>
  <c r="U2264" i="4"/>
  <c r="K2264" i="4"/>
  <c r="E2264" i="4"/>
  <c r="B2264" i="4"/>
  <c r="K2263" i="4"/>
  <c r="E2263" i="4"/>
  <c r="B2263" i="4"/>
  <c r="U2262" i="4"/>
  <c r="K2262" i="4"/>
  <c r="E2262" i="4"/>
  <c r="B2262" i="4"/>
  <c r="U2261" i="4"/>
  <c r="K2261" i="4"/>
  <c r="E2261" i="4"/>
  <c r="B2261" i="4"/>
  <c r="U2260" i="4"/>
  <c r="K2260" i="4"/>
  <c r="E2260" i="4"/>
  <c r="B2260" i="4"/>
  <c r="U2259" i="4"/>
  <c r="K2259" i="4"/>
  <c r="E2259" i="4"/>
  <c r="B2259" i="4"/>
  <c r="U2258" i="4"/>
  <c r="K2258" i="4"/>
  <c r="E2258" i="4"/>
  <c r="B2258" i="4"/>
  <c r="U2257" i="4"/>
  <c r="K2257" i="4"/>
  <c r="E2257" i="4"/>
  <c r="B2257" i="4"/>
  <c r="U2256" i="4"/>
  <c r="K2256" i="4"/>
  <c r="E2256" i="4"/>
  <c r="B2256" i="4"/>
  <c r="U2255" i="4"/>
  <c r="K2255" i="4"/>
  <c r="E2255" i="4"/>
  <c r="B2255" i="4"/>
  <c r="U2254" i="4"/>
  <c r="K2254" i="4"/>
  <c r="E2254" i="4"/>
  <c r="B2254" i="4"/>
  <c r="U2253" i="4"/>
  <c r="K2253" i="4"/>
  <c r="E2253" i="4"/>
  <c r="B2253" i="4"/>
  <c r="U2252" i="4"/>
  <c r="K2252" i="4"/>
  <c r="E2252" i="4"/>
  <c r="B2252" i="4"/>
  <c r="U2251" i="4"/>
  <c r="K2251" i="4"/>
  <c r="E2251" i="4"/>
  <c r="B2251" i="4"/>
  <c r="U2250" i="4"/>
  <c r="K2250" i="4"/>
  <c r="E2250" i="4"/>
  <c r="B2250" i="4"/>
  <c r="U2249" i="4"/>
  <c r="K2249" i="4"/>
  <c r="E2249" i="4"/>
  <c r="B2249" i="4"/>
  <c r="U2248" i="4"/>
  <c r="K2248" i="4"/>
  <c r="E2248" i="4"/>
  <c r="B2248" i="4"/>
  <c r="U2247" i="4"/>
  <c r="K2247" i="4"/>
  <c r="E2247" i="4"/>
  <c r="B2247" i="4"/>
  <c r="U2246" i="4"/>
  <c r="K2246" i="4"/>
  <c r="E2246" i="4"/>
  <c r="B2246" i="4"/>
  <c r="U2245" i="4"/>
  <c r="K2245" i="4"/>
  <c r="E2245" i="4"/>
  <c r="B2245" i="4"/>
  <c r="U2244" i="4"/>
  <c r="K2244" i="4"/>
  <c r="E2244" i="4"/>
  <c r="B2244" i="4"/>
  <c r="U2243" i="4"/>
  <c r="K2243" i="4"/>
  <c r="E2243" i="4"/>
  <c r="B2243" i="4"/>
  <c r="U2242" i="4"/>
  <c r="K2242" i="4"/>
  <c r="E2242" i="4"/>
  <c r="B2242" i="4"/>
  <c r="U2241" i="4"/>
  <c r="K2241" i="4"/>
  <c r="E2241" i="4"/>
  <c r="B2241" i="4"/>
  <c r="U2240" i="4"/>
  <c r="K2240" i="4"/>
  <c r="E2240" i="4"/>
  <c r="B2240" i="4"/>
  <c r="U2239" i="4"/>
  <c r="K2239" i="4"/>
  <c r="E2239" i="4"/>
  <c r="B2239" i="4"/>
  <c r="U2238" i="4"/>
  <c r="K2238" i="4"/>
  <c r="E2238" i="4"/>
  <c r="B2238" i="4"/>
  <c r="U2237" i="4"/>
  <c r="K2237" i="4"/>
  <c r="E2237" i="4"/>
  <c r="B2237" i="4"/>
  <c r="U2236" i="4"/>
  <c r="K2236" i="4"/>
  <c r="E2236" i="4"/>
  <c r="B2236" i="4"/>
  <c r="U2235" i="4"/>
  <c r="K2235" i="4"/>
  <c r="E2235" i="4"/>
  <c r="B2235" i="4"/>
  <c r="U2234" i="4"/>
  <c r="K2234" i="4"/>
  <c r="E2234" i="4"/>
  <c r="B2234" i="4"/>
  <c r="U2233" i="4"/>
  <c r="K2233" i="4"/>
  <c r="E2233" i="4"/>
  <c r="B2233" i="4"/>
  <c r="U2232" i="4"/>
  <c r="K2232" i="4"/>
  <c r="E2232" i="4"/>
  <c r="B2232" i="4"/>
  <c r="U2231" i="4"/>
  <c r="K2231" i="4"/>
  <c r="E2231" i="4"/>
  <c r="B2231" i="4"/>
  <c r="U2230" i="4"/>
  <c r="K2230" i="4"/>
  <c r="E2230" i="4"/>
  <c r="B2230" i="4"/>
  <c r="U2229" i="4"/>
  <c r="K2229" i="4"/>
  <c r="E2229" i="4"/>
  <c r="B2229" i="4"/>
  <c r="U2228" i="4"/>
  <c r="K2228" i="4"/>
  <c r="E2228" i="4"/>
  <c r="B2228" i="4"/>
  <c r="U2227" i="4"/>
  <c r="K2227" i="4"/>
  <c r="E2227" i="4"/>
  <c r="B2227" i="4"/>
  <c r="U2226" i="4"/>
  <c r="K2226" i="4"/>
  <c r="E2226" i="4"/>
  <c r="B2226" i="4"/>
  <c r="U2225" i="4"/>
  <c r="K2225" i="4"/>
  <c r="E2225" i="4"/>
  <c r="B2225" i="4"/>
  <c r="U2224" i="4"/>
  <c r="K2224" i="4"/>
  <c r="E2224" i="4"/>
  <c r="B2224" i="4"/>
  <c r="U2223" i="4"/>
  <c r="K2223" i="4"/>
  <c r="E2223" i="4"/>
  <c r="B2223" i="4"/>
  <c r="U2222" i="4"/>
  <c r="K2222" i="4"/>
  <c r="E2222" i="4"/>
  <c r="B2222" i="4"/>
  <c r="U2221" i="4"/>
  <c r="K2221" i="4"/>
  <c r="E2221" i="4"/>
  <c r="B2221" i="4"/>
  <c r="K2220" i="4"/>
  <c r="E2220" i="4"/>
  <c r="B2220" i="4"/>
  <c r="U2219" i="4"/>
  <c r="K2219" i="4"/>
  <c r="E2219" i="4"/>
  <c r="B2219" i="4"/>
  <c r="U2218" i="4"/>
  <c r="K2218" i="4"/>
  <c r="E2218" i="4"/>
  <c r="B2218" i="4"/>
  <c r="U2217" i="4"/>
  <c r="K2217" i="4"/>
  <c r="E2217" i="4"/>
  <c r="B2217" i="4"/>
  <c r="U2216" i="4"/>
  <c r="K2216" i="4"/>
  <c r="E2216" i="4"/>
  <c r="B2216" i="4"/>
  <c r="U2215" i="4"/>
  <c r="K2215" i="4"/>
  <c r="E2215" i="4"/>
  <c r="B2215" i="4"/>
  <c r="U2214" i="4"/>
  <c r="K2214" i="4"/>
  <c r="E2214" i="4"/>
  <c r="B2214" i="4"/>
  <c r="U2213" i="4"/>
  <c r="K2213" i="4"/>
  <c r="E2213" i="4"/>
  <c r="B2213" i="4"/>
  <c r="U2212" i="4"/>
  <c r="K2212" i="4"/>
  <c r="E2212" i="4"/>
  <c r="B2212" i="4"/>
  <c r="U2211" i="4"/>
  <c r="K2211" i="4"/>
  <c r="E2211" i="4"/>
  <c r="B2211" i="4"/>
  <c r="U2210" i="4"/>
  <c r="K2210" i="4"/>
  <c r="E2210" i="4"/>
  <c r="B2210" i="4"/>
  <c r="U2209" i="4"/>
  <c r="K2209" i="4"/>
  <c r="E2209" i="4"/>
  <c r="B2209" i="4"/>
  <c r="U2208" i="4"/>
  <c r="K2208" i="4"/>
  <c r="E2208" i="4"/>
  <c r="B2208" i="4"/>
  <c r="U2207" i="4"/>
  <c r="K2207" i="4"/>
  <c r="E2207" i="4"/>
  <c r="B2207" i="4"/>
  <c r="U2206" i="4"/>
  <c r="K2206" i="4"/>
  <c r="E2206" i="4"/>
  <c r="B2206" i="4"/>
  <c r="U2205" i="4"/>
  <c r="K2205" i="4"/>
  <c r="E2205" i="4"/>
  <c r="B2205" i="4"/>
  <c r="U2204" i="4"/>
  <c r="K2204" i="4"/>
  <c r="E2204" i="4"/>
  <c r="B2204" i="4"/>
  <c r="U2203" i="4"/>
  <c r="K2203" i="4"/>
  <c r="E2203" i="4"/>
  <c r="B2203" i="4"/>
  <c r="U2202" i="4"/>
  <c r="K2202" i="4"/>
  <c r="E2202" i="4"/>
  <c r="B2202" i="4"/>
  <c r="U2201" i="4"/>
  <c r="K2201" i="4"/>
  <c r="E2201" i="4"/>
  <c r="B2201" i="4"/>
  <c r="U2200" i="4"/>
  <c r="K2200" i="4"/>
  <c r="E2200" i="4"/>
  <c r="B2200" i="4"/>
  <c r="U2199" i="4"/>
  <c r="K2199" i="4"/>
  <c r="E2199" i="4"/>
  <c r="B2199" i="4"/>
  <c r="U2198" i="4"/>
  <c r="K2198" i="4"/>
  <c r="E2198" i="4"/>
  <c r="B2198" i="4"/>
  <c r="U2197" i="4"/>
  <c r="K2197" i="4"/>
  <c r="E2197" i="4"/>
  <c r="B2197" i="4"/>
  <c r="U2196" i="4"/>
  <c r="K2196" i="4"/>
  <c r="E2196" i="4"/>
  <c r="B2196" i="4"/>
  <c r="U2195" i="4"/>
  <c r="K2195" i="4"/>
  <c r="E2195" i="4"/>
  <c r="B2195" i="4"/>
  <c r="U2194" i="4"/>
  <c r="K2194" i="4"/>
  <c r="E2194" i="4"/>
  <c r="B2194" i="4"/>
  <c r="U2193" i="4"/>
  <c r="K2193" i="4"/>
  <c r="E2193" i="4"/>
  <c r="B2193" i="4"/>
  <c r="U2192" i="4"/>
  <c r="K2192" i="4"/>
  <c r="E2192" i="4"/>
  <c r="B2192" i="4"/>
  <c r="U2191" i="4"/>
  <c r="K2191" i="4"/>
  <c r="E2191" i="4"/>
  <c r="B2191" i="4"/>
  <c r="U2190" i="4"/>
  <c r="K2190" i="4"/>
  <c r="E2190" i="4"/>
  <c r="B2190" i="4"/>
  <c r="U2189" i="4"/>
  <c r="K2189" i="4"/>
  <c r="E2189" i="4"/>
  <c r="B2189" i="4"/>
  <c r="U2188" i="4"/>
  <c r="K2188" i="4"/>
  <c r="E2188" i="4"/>
  <c r="B2188" i="4"/>
  <c r="U2187" i="4"/>
  <c r="K2187" i="4"/>
  <c r="E2187" i="4"/>
  <c r="B2187" i="4"/>
  <c r="U2186" i="4"/>
  <c r="K2186" i="4"/>
  <c r="E2186" i="4"/>
  <c r="B2186" i="4"/>
  <c r="U2185" i="4"/>
  <c r="K2185" i="4"/>
  <c r="E2185" i="4"/>
  <c r="B2185" i="4"/>
  <c r="U2184" i="4"/>
  <c r="K2184" i="4"/>
  <c r="E2184" i="4"/>
  <c r="B2184" i="4"/>
  <c r="U2183" i="4"/>
  <c r="K2183" i="4"/>
  <c r="E2183" i="4"/>
  <c r="B2183" i="4"/>
  <c r="U2182" i="4"/>
  <c r="K2182" i="4"/>
  <c r="E2182" i="4"/>
  <c r="B2182" i="4"/>
  <c r="U2181" i="4"/>
  <c r="K2181" i="4"/>
  <c r="E2181" i="4"/>
  <c r="B2181" i="4"/>
  <c r="U2180" i="4"/>
  <c r="K2180" i="4"/>
  <c r="E2180" i="4"/>
  <c r="B2180" i="4"/>
  <c r="U2179" i="4"/>
  <c r="K2179" i="4"/>
  <c r="E2179" i="4"/>
  <c r="B2179" i="4"/>
  <c r="U2178" i="4"/>
  <c r="K2178" i="4"/>
  <c r="E2178" i="4"/>
  <c r="B2178" i="4"/>
  <c r="U2177" i="4"/>
  <c r="K2177" i="4"/>
  <c r="E2177" i="4"/>
  <c r="B2177" i="4"/>
  <c r="U2176" i="4"/>
  <c r="K2176" i="4"/>
  <c r="E2176" i="4"/>
  <c r="B2176" i="4"/>
  <c r="U2175" i="4"/>
  <c r="K2175" i="4"/>
  <c r="E2175" i="4"/>
  <c r="B2175" i="4"/>
  <c r="U2174" i="4"/>
  <c r="K2174" i="4"/>
  <c r="E2174" i="4"/>
  <c r="B2174" i="4"/>
  <c r="U2173" i="4"/>
  <c r="K2173" i="4"/>
  <c r="E2173" i="4"/>
  <c r="B2173" i="4"/>
  <c r="U2172" i="4"/>
  <c r="K2172" i="4"/>
  <c r="E2172" i="4"/>
  <c r="B2172" i="4"/>
  <c r="U2171" i="4"/>
  <c r="K2171" i="4"/>
  <c r="E2171" i="4"/>
  <c r="B2171" i="4"/>
  <c r="U2170" i="4"/>
  <c r="K2170" i="4"/>
  <c r="E2170" i="4"/>
  <c r="B2170" i="4"/>
  <c r="U2169" i="4"/>
  <c r="K2169" i="4"/>
  <c r="E2169" i="4"/>
  <c r="B2169" i="4"/>
  <c r="U2168" i="4"/>
  <c r="K2168" i="4"/>
  <c r="E2168" i="4"/>
  <c r="B2168" i="4"/>
  <c r="U2167" i="4"/>
  <c r="K2167" i="4"/>
  <c r="E2167" i="4"/>
  <c r="B2167" i="4"/>
  <c r="U2166" i="4"/>
  <c r="K2166" i="4"/>
  <c r="E2166" i="4"/>
  <c r="B2166" i="4"/>
  <c r="U2165" i="4"/>
  <c r="K2165" i="4"/>
  <c r="E2165" i="4"/>
  <c r="B2165" i="4"/>
  <c r="U2164" i="4"/>
  <c r="K2164" i="4"/>
  <c r="E2164" i="4"/>
  <c r="B2164" i="4"/>
  <c r="U2163" i="4"/>
  <c r="K2163" i="4"/>
  <c r="E2163" i="4"/>
  <c r="B2163" i="4"/>
  <c r="U2162" i="4"/>
  <c r="K2162" i="4"/>
  <c r="E2162" i="4"/>
  <c r="B2162" i="4"/>
  <c r="U2161" i="4"/>
  <c r="K2161" i="4"/>
  <c r="E2161" i="4"/>
  <c r="B2161" i="4"/>
  <c r="U2160" i="4"/>
  <c r="K2160" i="4"/>
  <c r="E2160" i="4"/>
  <c r="B2160" i="4"/>
  <c r="U2159" i="4"/>
  <c r="K2159" i="4"/>
  <c r="E2159" i="4"/>
  <c r="B2159" i="4"/>
  <c r="U2158" i="4"/>
  <c r="K2158" i="4"/>
  <c r="E2158" i="4"/>
  <c r="B2158" i="4"/>
  <c r="K2157" i="4"/>
  <c r="E2157" i="4"/>
  <c r="B2157" i="4"/>
  <c r="U2156" i="4"/>
  <c r="K2156" i="4"/>
  <c r="E2156" i="4"/>
  <c r="B2156" i="4"/>
  <c r="U2155" i="4"/>
  <c r="K2155" i="4"/>
  <c r="E2155" i="4"/>
  <c r="B2155" i="4"/>
  <c r="U2154" i="4"/>
  <c r="K2154" i="4"/>
  <c r="E2154" i="4"/>
  <c r="B2154" i="4"/>
  <c r="U2153" i="4"/>
  <c r="K2153" i="4"/>
  <c r="E2153" i="4"/>
  <c r="B2153" i="4"/>
  <c r="U2152" i="4"/>
  <c r="K2152" i="4"/>
  <c r="E2152" i="4"/>
  <c r="B2152" i="4"/>
  <c r="U2151" i="4"/>
  <c r="K2151" i="4"/>
  <c r="E2151" i="4"/>
  <c r="B2151" i="4"/>
  <c r="U2150" i="4"/>
  <c r="K2150" i="4"/>
  <c r="E2150" i="4"/>
  <c r="B2150" i="4"/>
  <c r="U2149" i="4"/>
  <c r="K2149" i="4"/>
  <c r="E2149" i="4"/>
  <c r="B2149" i="4"/>
  <c r="U2148" i="4"/>
  <c r="K2148" i="4"/>
  <c r="E2148" i="4"/>
  <c r="B2148" i="4"/>
  <c r="U2147" i="4"/>
  <c r="K2147" i="4"/>
  <c r="E2147" i="4"/>
  <c r="B2147" i="4"/>
  <c r="U2146" i="4"/>
  <c r="K2146" i="4"/>
  <c r="E2146" i="4"/>
  <c r="B2146" i="4"/>
  <c r="U2145" i="4"/>
  <c r="K2145" i="4"/>
  <c r="E2145" i="4"/>
  <c r="B2145" i="4"/>
  <c r="U2144" i="4"/>
  <c r="K2144" i="4"/>
  <c r="E2144" i="4"/>
  <c r="B2144" i="4"/>
  <c r="U2143" i="4"/>
  <c r="K2143" i="4"/>
  <c r="E2143" i="4"/>
  <c r="B2143" i="4"/>
  <c r="U2142" i="4"/>
  <c r="K2142" i="4"/>
  <c r="E2142" i="4"/>
  <c r="B2142" i="4"/>
  <c r="U2141" i="4"/>
  <c r="K2141" i="4"/>
  <c r="E2141" i="4"/>
  <c r="B2141" i="4"/>
  <c r="U2140" i="4"/>
  <c r="K2140" i="4"/>
  <c r="E2140" i="4"/>
  <c r="B2140" i="4"/>
  <c r="U2139" i="4"/>
  <c r="K2139" i="4"/>
  <c r="E2139" i="4"/>
  <c r="B2139" i="4"/>
  <c r="U2138" i="4"/>
  <c r="K2138" i="4"/>
  <c r="E2138" i="4"/>
  <c r="B2138" i="4"/>
  <c r="U2137" i="4"/>
  <c r="K2137" i="4"/>
  <c r="E2137" i="4"/>
  <c r="B2137" i="4"/>
  <c r="U2136" i="4"/>
  <c r="K2136" i="4"/>
  <c r="E2136" i="4"/>
  <c r="B2136" i="4"/>
  <c r="U2135" i="4"/>
  <c r="K2135" i="4"/>
  <c r="E2135" i="4"/>
  <c r="B2135" i="4"/>
  <c r="U2134" i="4"/>
  <c r="K2134" i="4"/>
  <c r="E2134" i="4"/>
  <c r="B2134" i="4"/>
  <c r="U2133" i="4"/>
  <c r="K2133" i="4"/>
  <c r="E2133" i="4"/>
  <c r="B2133" i="4"/>
  <c r="U2132" i="4"/>
  <c r="K2132" i="4"/>
  <c r="E2132" i="4"/>
  <c r="B2132" i="4"/>
  <c r="U2131" i="4"/>
  <c r="K2131" i="4"/>
  <c r="E2131" i="4"/>
  <c r="B2131" i="4"/>
  <c r="U2130" i="4"/>
  <c r="K2130" i="4"/>
  <c r="E2130" i="4"/>
  <c r="B2130" i="4"/>
  <c r="U2129" i="4"/>
  <c r="K2129" i="4"/>
  <c r="E2129" i="4"/>
  <c r="B2129" i="4"/>
  <c r="U2128" i="4"/>
  <c r="K2128" i="4"/>
  <c r="E2128" i="4"/>
  <c r="B2128" i="4"/>
  <c r="U2127" i="4"/>
  <c r="K2127" i="4"/>
  <c r="E2127" i="4"/>
  <c r="B2127" i="4"/>
  <c r="U2126" i="4"/>
  <c r="K2126" i="4"/>
  <c r="E2126" i="4"/>
  <c r="B2126" i="4"/>
  <c r="U2125" i="4"/>
  <c r="K2125" i="4"/>
  <c r="E2125" i="4"/>
  <c r="B2125" i="4"/>
  <c r="U2124" i="4"/>
  <c r="K2124" i="4"/>
  <c r="E2124" i="4"/>
  <c r="B2124" i="4"/>
  <c r="U2123" i="4"/>
  <c r="K2123" i="4"/>
  <c r="E2123" i="4"/>
  <c r="B2123" i="4"/>
  <c r="U2122" i="4"/>
  <c r="K2122" i="4"/>
  <c r="E2122" i="4"/>
  <c r="B2122" i="4"/>
  <c r="U2121" i="4"/>
  <c r="K2121" i="4"/>
  <c r="E2121" i="4"/>
  <c r="B2121" i="4"/>
  <c r="U2120" i="4"/>
  <c r="K2120" i="4"/>
  <c r="E2120" i="4"/>
  <c r="B2120" i="4"/>
  <c r="U2119" i="4"/>
  <c r="K2119" i="4"/>
  <c r="E2119" i="4"/>
  <c r="B2119" i="4"/>
  <c r="U2118" i="4"/>
  <c r="K2118" i="4"/>
  <c r="E2118" i="4"/>
  <c r="B2118" i="4"/>
  <c r="U2117" i="4"/>
  <c r="K2117" i="4"/>
  <c r="E2117" i="4"/>
  <c r="B2117" i="4"/>
  <c r="U2116" i="4"/>
  <c r="K2116" i="4"/>
  <c r="E2116" i="4"/>
  <c r="B2116" i="4"/>
  <c r="U2115" i="4"/>
  <c r="K2115" i="4"/>
  <c r="E2115" i="4"/>
  <c r="B2115" i="4"/>
  <c r="U2114" i="4"/>
  <c r="K2114" i="4"/>
  <c r="E2114" i="4"/>
  <c r="B2114" i="4"/>
  <c r="U2113" i="4"/>
  <c r="K2113" i="4"/>
  <c r="E2113" i="4"/>
  <c r="B2113" i="4"/>
  <c r="U2112" i="4"/>
  <c r="K2112" i="4"/>
  <c r="E2112" i="4"/>
  <c r="B2112" i="4"/>
  <c r="U2111" i="4"/>
  <c r="K2111" i="4"/>
  <c r="E2111" i="4"/>
  <c r="B2111" i="4"/>
  <c r="U2110" i="4"/>
  <c r="K2110" i="4"/>
  <c r="E2110" i="4"/>
  <c r="B2110" i="4"/>
  <c r="U2109" i="4"/>
  <c r="K2109" i="4"/>
  <c r="E2109" i="4"/>
  <c r="B2109" i="4"/>
  <c r="U2108" i="4"/>
  <c r="K2108" i="4"/>
  <c r="E2108" i="4"/>
  <c r="B2108" i="4"/>
  <c r="U2107" i="4"/>
  <c r="K2107" i="4"/>
  <c r="E2107" i="4"/>
  <c r="B2107" i="4"/>
  <c r="U2106" i="4"/>
  <c r="K2106" i="4"/>
  <c r="E2106" i="4"/>
  <c r="B2106" i="4"/>
  <c r="U2105" i="4"/>
  <c r="K2105" i="4"/>
  <c r="E2105" i="4"/>
  <c r="B2105" i="4"/>
  <c r="U2104" i="4"/>
  <c r="K2104" i="4"/>
  <c r="E2104" i="4"/>
  <c r="B2104" i="4"/>
  <c r="U2103" i="4"/>
  <c r="K2103" i="4"/>
  <c r="E2103" i="4"/>
  <c r="B2103" i="4"/>
  <c r="U2102" i="4"/>
  <c r="K2102" i="4"/>
  <c r="E2102" i="4"/>
  <c r="B2102" i="4"/>
  <c r="U2101" i="4"/>
  <c r="K2101" i="4"/>
  <c r="E2101" i="4"/>
  <c r="B2101" i="4"/>
  <c r="U2100" i="4"/>
  <c r="K2100" i="4"/>
  <c r="E2100" i="4"/>
  <c r="B2100" i="4"/>
  <c r="U2099" i="4"/>
  <c r="K2099" i="4"/>
  <c r="E2099" i="4"/>
  <c r="B2099" i="4"/>
  <c r="U2098" i="4"/>
  <c r="K2098" i="4"/>
  <c r="E2098" i="4"/>
  <c r="B2098" i="4"/>
  <c r="U2097" i="4"/>
  <c r="K2097" i="4"/>
  <c r="E2097" i="4"/>
  <c r="B2097" i="4"/>
  <c r="U2096" i="4"/>
  <c r="K2096" i="4"/>
  <c r="E2096" i="4"/>
  <c r="B2096" i="4"/>
  <c r="U2095" i="4"/>
  <c r="K2095" i="4"/>
  <c r="E2095" i="4"/>
  <c r="B2095" i="4"/>
  <c r="U2094" i="4"/>
  <c r="K2094" i="4"/>
  <c r="E2094" i="4"/>
  <c r="B2094" i="4"/>
  <c r="U2093" i="4"/>
  <c r="K2093" i="4"/>
  <c r="E2093" i="4"/>
  <c r="B2093" i="4"/>
  <c r="U2092" i="4"/>
  <c r="K2092" i="4"/>
  <c r="E2092" i="4"/>
  <c r="B2092" i="4"/>
  <c r="U2091" i="4"/>
  <c r="K2091" i="4"/>
  <c r="E2091" i="4"/>
  <c r="B2091" i="4"/>
  <c r="U2090" i="4"/>
  <c r="K2090" i="4"/>
  <c r="E2090" i="4"/>
  <c r="B2090" i="4"/>
  <c r="U2089" i="4"/>
  <c r="K2089" i="4"/>
  <c r="E2089" i="4"/>
  <c r="B2089" i="4"/>
  <c r="U2088" i="4"/>
  <c r="K2088" i="4"/>
  <c r="E2088" i="4"/>
  <c r="B2088" i="4"/>
  <c r="U2087" i="4"/>
  <c r="K2087" i="4"/>
  <c r="E2087" i="4"/>
  <c r="B2087" i="4"/>
  <c r="U2086" i="4"/>
  <c r="K2086" i="4"/>
  <c r="E2086" i="4"/>
  <c r="B2086" i="4"/>
  <c r="U2085" i="4"/>
  <c r="K2085" i="4"/>
  <c r="E2085" i="4"/>
  <c r="B2085" i="4"/>
  <c r="U2084" i="4"/>
  <c r="K2084" i="4"/>
  <c r="E2084" i="4"/>
  <c r="B2084" i="4"/>
  <c r="U2083" i="4"/>
  <c r="K2083" i="4"/>
  <c r="E2083" i="4"/>
  <c r="B2083" i="4"/>
  <c r="U2082" i="4"/>
  <c r="K2082" i="4"/>
  <c r="E2082" i="4"/>
  <c r="B2082" i="4"/>
  <c r="U2081" i="4"/>
  <c r="K2081" i="4"/>
  <c r="E2081" i="4"/>
  <c r="B2081" i="4"/>
  <c r="U2080" i="4"/>
  <c r="K2080" i="4"/>
  <c r="E2080" i="4"/>
  <c r="B2080" i="4"/>
  <c r="U2079" i="4"/>
  <c r="K2079" i="4"/>
  <c r="E2079" i="4"/>
  <c r="B2079" i="4"/>
  <c r="U2078" i="4"/>
  <c r="K2078" i="4"/>
  <c r="E2078" i="4"/>
  <c r="B2078" i="4"/>
  <c r="U2077" i="4"/>
  <c r="K2077" i="4"/>
  <c r="E2077" i="4"/>
  <c r="B2077" i="4"/>
  <c r="U2076" i="4"/>
  <c r="K2076" i="4"/>
  <c r="E2076" i="4"/>
  <c r="B2076" i="4"/>
  <c r="U2075" i="4"/>
  <c r="K2075" i="4"/>
  <c r="E2075" i="4"/>
  <c r="B2075" i="4"/>
  <c r="U2074" i="4"/>
  <c r="K2074" i="4"/>
  <c r="E2074" i="4"/>
  <c r="B2074" i="4"/>
  <c r="U2073" i="4"/>
  <c r="K2073" i="4"/>
  <c r="E2073" i="4"/>
  <c r="B2073" i="4"/>
  <c r="U2072" i="4"/>
  <c r="K2072" i="4"/>
  <c r="E2072" i="4"/>
  <c r="B2072" i="4"/>
  <c r="U2071" i="4"/>
  <c r="K2071" i="4"/>
  <c r="E2071" i="4"/>
  <c r="B2071" i="4"/>
  <c r="U2070" i="4"/>
  <c r="K2070" i="4"/>
  <c r="E2070" i="4"/>
  <c r="B2070" i="4"/>
  <c r="U2069" i="4"/>
  <c r="K2069" i="4"/>
  <c r="E2069" i="4"/>
  <c r="B2069" i="4"/>
  <c r="U2068" i="4"/>
  <c r="K2068" i="4"/>
  <c r="E2068" i="4"/>
  <c r="B2068" i="4"/>
  <c r="U2067" i="4"/>
  <c r="K2067" i="4"/>
  <c r="E2067" i="4"/>
  <c r="B2067" i="4"/>
  <c r="U2066" i="4"/>
  <c r="K2066" i="4"/>
  <c r="E2066" i="4"/>
  <c r="B2066" i="4"/>
  <c r="U2065" i="4"/>
  <c r="K2065" i="4"/>
  <c r="E2065" i="4"/>
  <c r="B2065" i="4"/>
  <c r="U2064" i="4"/>
  <c r="K2064" i="4"/>
  <c r="E2064" i="4"/>
  <c r="B2064" i="4"/>
  <c r="U2063" i="4"/>
  <c r="K2063" i="4"/>
  <c r="E2063" i="4"/>
  <c r="B2063" i="4"/>
  <c r="U2062" i="4"/>
  <c r="K2062" i="4"/>
  <c r="E2062" i="4"/>
  <c r="B2062" i="4"/>
  <c r="U2061" i="4"/>
  <c r="K2061" i="4"/>
  <c r="E2061" i="4"/>
  <c r="B2061" i="4"/>
  <c r="U2060" i="4"/>
  <c r="K2060" i="4"/>
  <c r="E2060" i="4"/>
  <c r="B2060" i="4"/>
  <c r="U2059" i="4"/>
  <c r="K2059" i="4"/>
  <c r="E2059" i="4"/>
  <c r="B2059" i="4"/>
  <c r="U2058" i="4"/>
  <c r="K2058" i="4"/>
  <c r="E2058" i="4"/>
  <c r="B2058" i="4"/>
  <c r="U2057" i="4"/>
  <c r="K2057" i="4"/>
  <c r="E2057" i="4"/>
  <c r="B2057" i="4"/>
  <c r="U2056" i="4"/>
  <c r="K2056" i="4"/>
  <c r="E2056" i="4"/>
  <c r="B2056" i="4"/>
  <c r="U2055" i="4"/>
  <c r="K2055" i="4"/>
  <c r="E2055" i="4"/>
  <c r="B2055" i="4"/>
  <c r="U2054" i="4"/>
  <c r="K2054" i="4"/>
  <c r="E2054" i="4"/>
  <c r="B2054" i="4"/>
  <c r="U2053" i="4"/>
  <c r="K2053" i="4"/>
  <c r="E2053" i="4"/>
  <c r="B2053" i="4"/>
  <c r="U2052" i="4"/>
  <c r="K2052" i="4"/>
  <c r="E2052" i="4"/>
  <c r="B2052" i="4"/>
  <c r="U2051" i="4"/>
  <c r="K2051" i="4"/>
  <c r="E2051" i="4"/>
  <c r="B2051" i="4"/>
  <c r="U2050" i="4"/>
  <c r="K2050" i="4"/>
  <c r="E2050" i="4"/>
  <c r="B2050" i="4"/>
  <c r="K2049" i="4"/>
  <c r="E2049" i="4"/>
  <c r="B2049" i="4"/>
  <c r="U2048" i="4"/>
  <c r="K2048" i="4"/>
  <c r="E2048" i="4"/>
  <c r="B2048" i="4"/>
  <c r="U2047" i="4"/>
  <c r="K2047" i="4"/>
  <c r="E2047" i="4"/>
  <c r="B2047" i="4"/>
  <c r="U2046" i="4"/>
  <c r="K2046" i="4"/>
  <c r="E2046" i="4"/>
  <c r="B2046" i="4"/>
  <c r="U2045" i="4"/>
  <c r="K2045" i="4"/>
  <c r="E2045" i="4"/>
  <c r="B2045" i="4"/>
  <c r="U2044" i="4"/>
  <c r="K2044" i="4"/>
  <c r="E2044" i="4"/>
  <c r="B2044" i="4"/>
  <c r="U2043" i="4"/>
  <c r="K2043" i="4"/>
  <c r="E2043" i="4"/>
  <c r="B2043" i="4"/>
  <c r="U2042" i="4"/>
  <c r="K2042" i="4"/>
  <c r="E2042" i="4"/>
  <c r="B2042" i="4"/>
  <c r="U2041" i="4"/>
  <c r="K2041" i="4"/>
  <c r="E2041" i="4"/>
  <c r="B2041" i="4"/>
  <c r="U2040" i="4"/>
  <c r="K2040" i="4"/>
  <c r="E2040" i="4"/>
  <c r="B2040" i="4"/>
  <c r="U2039" i="4"/>
  <c r="K2039" i="4"/>
  <c r="E2039" i="4"/>
  <c r="B2039" i="4"/>
  <c r="U2038" i="4"/>
  <c r="K2038" i="4"/>
  <c r="E2038" i="4"/>
  <c r="B2038" i="4"/>
  <c r="U2037" i="4"/>
  <c r="K2037" i="4"/>
  <c r="E2037" i="4"/>
  <c r="B2037" i="4"/>
  <c r="U2036" i="4"/>
  <c r="K2036" i="4"/>
  <c r="E2036" i="4"/>
  <c r="B2036" i="4"/>
  <c r="U2035" i="4"/>
  <c r="K2035" i="4"/>
  <c r="E2035" i="4"/>
  <c r="B2035" i="4"/>
  <c r="U2034" i="4"/>
  <c r="K2034" i="4"/>
  <c r="E2034" i="4"/>
  <c r="B2034" i="4"/>
  <c r="U2033" i="4"/>
  <c r="K2033" i="4"/>
  <c r="E2033" i="4"/>
  <c r="B2033" i="4"/>
  <c r="U2032" i="4"/>
  <c r="K2032" i="4"/>
  <c r="E2032" i="4"/>
  <c r="B2032" i="4"/>
  <c r="U2031" i="4"/>
  <c r="K2031" i="4"/>
  <c r="E2031" i="4"/>
  <c r="B2031" i="4"/>
  <c r="U2030" i="4"/>
  <c r="K2030" i="4"/>
  <c r="E2030" i="4"/>
  <c r="B2030" i="4"/>
  <c r="U2029" i="4"/>
  <c r="K2029" i="4"/>
  <c r="E2029" i="4"/>
  <c r="B2029" i="4"/>
  <c r="U2028" i="4"/>
  <c r="K2028" i="4"/>
  <c r="E2028" i="4"/>
  <c r="B2028" i="4"/>
  <c r="U2027" i="4"/>
  <c r="K2027" i="4"/>
  <c r="E2027" i="4"/>
  <c r="B2027" i="4"/>
  <c r="U2026" i="4"/>
  <c r="K2026" i="4"/>
  <c r="E2026" i="4"/>
  <c r="B2026" i="4"/>
  <c r="U2025" i="4"/>
  <c r="K2025" i="4"/>
  <c r="E2025" i="4"/>
  <c r="B2025" i="4"/>
  <c r="U2024" i="4"/>
  <c r="K2024" i="4"/>
  <c r="E2024" i="4"/>
  <c r="B2024" i="4"/>
  <c r="U2023" i="4"/>
  <c r="K2023" i="4"/>
  <c r="E2023" i="4"/>
  <c r="B2023" i="4"/>
  <c r="U2022" i="4"/>
  <c r="K2022" i="4"/>
  <c r="E2022" i="4"/>
  <c r="B2022" i="4"/>
  <c r="U2021" i="4"/>
  <c r="K2021" i="4"/>
  <c r="E2021" i="4"/>
  <c r="B2021" i="4"/>
  <c r="U2020" i="4"/>
  <c r="K2020" i="4"/>
  <c r="E2020" i="4"/>
  <c r="B2020" i="4"/>
  <c r="U2019" i="4"/>
  <c r="K2019" i="4"/>
  <c r="E2019" i="4"/>
  <c r="B2019" i="4"/>
  <c r="U2018" i="4"/>
  <c r="K2018" i="4"/>
  <c r="E2018" i="4"/>
  <c r="B2018" i="4"/>
  <c r="U2017" i="4"/>
  <c r="K2017" i="4"/>
  <c r="E2017" i="4"/>
  <c r="B2017" i="4"/>
  <c r="U2016" i="4"/>
  <c r="K2016" i="4"/>
  <c r="E2016" i="4"/>
  <c r="B2016" i="4"/>
  <c r="U2015" i="4"/>
  <c r="K2015" i="4"/>
  <c r="E2015" i="4"/>
  <c r="B2015" i="4"/>
  <c r="U2014" i="4"/>
  <c r="K2014" i="4"/>
  <c r="E2014" i="4"/>
  <c r="B2014" i="4"/>
  <c r="U2013" i="4"/>
  <c r="K2013" i="4"/>
  <c r="E2013" i="4"/>
  <c r="B2013" i="4"/>
  <c r="U2012" i="4"/>
  <c r="K2012" i="4"/>
  <c r="E2012" i="4"/>
  <c r="B2012" i="4"/>
  <c r="U2011" i="4"/>
  <c r="K2011" i="4"/>
  <c r="E2011" i="4"/>
  <c r="B2011" i="4"/>
  <c r="U2010" i="4"/>
  <c r="K2010" i="4"/>
  <c r="E2010" i="4"/>
  <c r="B2010" i="4"/>
  <c r="U2009" i="4"/>
  <c r="K2009" i="4"/>
  <c r="E2009" i="4"/>
  <c r="B2009" i="4"/>
  <c r="U2008" i="4"/>
  <c r="K2008" i="4"/>
  <c r="E2008" i="4"/>
  <c r="B2008" i="4"/>
  <c r="U2007" i="4"/>
  <c r="K2007" i="4"/>
  <c r="E2007" i="4"/>
  <c r="B2007" i="4"/>
  <c r="U2006" i="4"/>
  <c r="K2006" i="4"/>
  <c r="E2006" i="4"/>
  <c r="B2006" i="4"/>
  <c r="U2005" i="4"/>
  <c r="K2005" i="4"/>
  <c r="E2005" i="4"/>
  <c r="B2005" i="4"/>
  <c r="U2004" i="4"/>
  <c r="K2004" i="4"/>
  <c r="E2004" i="4"/>
  <c r="B2004" i="4"/>
  <c r="U2003" i="4"/>
  <c r="K2003" i="4"/>
  <c r="E2003" i="4"/>
  <c r="B2003" i="4"/>
  <c r="U2002" i="4"/>
  <c r="K2002" i="4"/>
  <c r="E2002" i="4"/>
  <c r="B2002" i="4"/>
  <c r="U2001" i="4"/>
  <c r="K2001" i="4"/>
  <c r="E2001" i="4"/>
  <c r="B2001" i="4"/>
  <c r="U2000" i="4"/>
  <c r="K2000" i="4"/>
  <c r="E2000" i="4"/>
  <c r="B2000" i="4"/>
  <c r="U1999" i="4"/>
  <c r="K1999" i="4"/>
  <c r="E1999" i="4"/>
  <c r="B1999" i="4"/>
  <c r="U1998" i="4"/>
  <c r="K1998" i="4"/>
  <c r="E1998" i="4"/>
  <c r="B1998" i="4"/>
  <c r="U1997" i="4"/>
  <c r="K1997" i="4"/>
  <c r="E1997" i="4"/>
  <c r="B1997" i="4"/>
  <c r="U1996" i="4"/>
  <c r="K1996" i="4"/>
  <c r="E1996" i="4"/>
  <c r="B1996" i="4"/>
  <c r="U1995" i="4"/>
  <c r="K1995" i="4"/>
  <c r="E1995" i="4"/>
  <c r="B1995" i="4"/>
  <c r="U1994" i="4"/>
  <c r="K1994" i="4"/>
  <c r="E1994" i="4"/>
  <c r="B1994" i="4"/>
  <c r="U1993" i="4"/>
  <c r="K1993" i="4"/>
  <c r="E1993" i="4"/>
  <c r="B1993" i="4"/>
  <c r="U1992" i="4"/>
  <c r="K1992" i="4"/>
  <c r="E1992" i="4"/>
  <c r="B1992" i="4"/>
  <c r="U1991" i="4"/>
  <c r="K1991" i="4"/>
  <c r="E1991" i="4"/>
  <c r="B1991" i="4"/>
  <c r="U1990" i="4"/>
  <c r="K1990" i="4"/>
  <c r="E1990" i="4"/>
  <c r="B1990" i="4"/>
  <c r="U1989" i="4"/>
  <c r="K1989" i="4"/>
  <c r="E1989" i="4"/>
  <c r="B1989" i="4"/>
  <c r="U1988" i="4"/>
  <c r="K1988" i="4"/>
  <c r="E1988" i="4"/>
  <c r="B1988" i="4"/>
  <c r="U1987" i="4"/>
  <c r="K1987" i="4"/>
  <c r="E1987" i="4"/>
  <c r="B1987" i="4"/>
  <c r="U1986" i="4"/>
  <c r="K1986" i="4"/>
  <c r="E1986" i="4"/>
  <c r="B1986" i="4"/>
  <c r="U1985" i="4"/>
  <c r="K1985" i="4"/>
  <c r="E1985" i="4"/>
  <c r="B1985" i="4"/>
  <c r="U1984" i="4"/>
  <c r="K1984" i="4"/>
  <c r="E1984" i="4"/>
  <c r="B1984" i="4"/>
  <c r="U1983" i="4"/>
  <c r="K1983" i="4"/>
  <c r="E1983" i="4"/>
  <c r="B1983" i="4"/>
  <c r="U1982" i="4"/>
  <c r="K1982" i="4"/>
  <c r="E1982" i="4"/>
  <c r="B1982" i="4"/>
  <c r="U1981" i="4"/>
  <c r="K1981" i="4"/>
  <c r="E1981" i="4"/>
  <c r="B1981" i="4"/>
  <c r="U1980" i="4"/>
  <c r="K1980" i="4"/>
  <c r="E1980" i="4"/>
  <c r="B1980" i="4"/>
  <c r="U1979" i="4"/>
  <c r="K1979" i="4"/>
  <c r="E1979" i="4"/>
  <c r="B1979" i="4"/>
  <c r="U1978" i="4"/>
  <c r="K1978" i="4"/>
  <c r="E1978" i="4"/>
  <c r="B1978" i="4"/>
  <c r="U1977" i="4"/>
  <c r="K1977" i="4"/>
  <c r="E1977" i="4"/>
  <c r="B1977" i="4"/>
  <c r="U1976" i="4"/>
  <c r="K1976" i="4"/>
  <c r="E1976" i="4"/>
  <c r="B1976" i="4"/>
  <c r="U1975" i="4"/>
  <c r="K1975" i="4"/>
  <c r="E1975" i="4"/>
  <c r="B1975" i="4"/>
  <c r="U1974" i="4"/>
  <c r="K1974" i="4"/>
  <c r="E1974" i="4"/>
  <c r="B1974" i="4"/>
  <c r="U1973" i="4"/>
  <c r="K1973" i="4"/>
  <c r="E1973" i="4"/>
  <c r="B1973" i="4"/>
  <c r="K1972" i="4"/>
  <c r="E1972" i="4"/>
  <c r="B1972" i="4"/>
  <c r="U1971" i="4"/>
  <c r="K1971" i="4"/>
  <c r="E1971" i="4"/>
  <c r="B1971" i="4"/>
  <c r="U1970" i="4"/>
  <c r="K1970" i="4"/>
  <c r="E1970" i="4"/>
  <c r="B1970" i="4"/>
  <c r="U1969" i="4"/>
  <c r="K1969" i="4"/>
  <c r="E1969" i="4"/>
  <c r="B1969" i="4"/>
  <c r="U1968" i="4"/>
  <c r="K1968" i="4"/>
  <c r="E1968" i="4"/>
  <c r="B1968" i="4"/>
  <c r="U1967" i="4"/>
  <c r="K1967" i="4"/>
  <c r="E1967" i="4"/>
  <c r="B1967" i="4"/>
  <c r="U1966" i="4"/>
  <c r="K1966" i="4"/>
  <c r="E1966" i="4"/>
  <c r="B1966" i="4"/>
  <c r="U1965" i="4"/>
  <c r="K1965" i="4"/>
  <c r="E1965" i="4"/>
  <c r="B1965" i="4"/>
  <c r="U1964" i="4"/>
  <c r="K1964" i="4"/>
  <c r="E1964" i="4"/>
  <c r="B1964" i="4"/>
  <c r="U1963" i="4"/>
  <c r="K1963" i="4"/>
  <c r="E1963" i="4"/>
  <c r="B1963" i="4"/>
  <c r="U1962" i="4"/>
  <c r="K1962" i="4"/>
  <c r="E1962" i="4"/>
  <c r="B1962" i="4"/>
  <c r="U1961" i="4"/>
  <c r="K1961" i="4"/>
  <c r="E1961" i="4"/>
  <c r="B1961" i="4"/>
  <c r="U1960" i="4"/>
  <c r="K1960" i="4"/>
  <c r="E1960" i="4"/>
  <c r="B1960" i="4"/>
  <c r="U1959" i="4"/>
  <c r="K1959" i="4"/>
  <c r="E1959" i="4"/>
  <c r="B1959" i="4"/>
  <c r="U1958" i="4"/>
  <c r="K1958" i="4"/>
  <c r="E1958" i="4"/>
  <c r="B1958" i="4"/>
  <c r="U1957" i="4"/>
  <c r="K1957" i="4"/>
  <c r="E1957" i="4"/>
  <c r="B1957" i="4"/>
  <c r="U1956" i="4"/>
  <c r="K1956" i="4"/>
  <c r="E1956" i="4"/>
  <c r="B1956" i="4"/>
  <c r="U1955" i="4"/>
  <c r="K1955" i="4"/>
  <c r="E1955" i="4"/>
  <c r="B1955" i="4"/>
  <c r="U1954" i="4"/>
  <c r="K1954" i="4"/>
  <c r="E1954" i="4"/>
  <c r="B1954" i="4"/>
  <c r="U1953" i="4"/>
  <c r="K1953" i="4"/>
  <c r="E1953" i="4"/>
  <c r="B1953" i="4"/>
  <c r="U1952" i="4"/>
  <c r="K1952" i="4"/>
  <c r="E1952" i="4"/>
  <c r="B1952" i="4"/>
  <c r="U1951" i="4"/>
  <c r="K1951" i="4"/>
  <c r="E1951" i="4"/>
  <c r="B1951" i="4"/>
  <c r="U1950" i="4"/>
  <c r="K1950" i="4"/>
  <c r="E1950" i="4"/>
  <c r="B1950" i="4"/>
  <c r="U1949" i="4"/>
  <c r="K1949" i="4"/>
  <c r="E1949" i="4"/>
  <c r="B1949" i="4"/>
  <c r="U1948" i="4"/>
  <c r="K1948" i="4"/>
  <c r="E1948" i="4"/>
  <c r="B1948" i="4"/>
  <c r="U1947" i="4"/>
  <c r="K1947" i="4"/>
  <c r="E1947" i="4"/>
  <c r="B1947" i="4"/>
  <c r="U1946" i="4"/>
  <c r="K1946" i="4"/>
  <c r="E1946" i="4"/>
  <c r="B1946" i="4"/>
  <c r="U1945" i="4"/>
  <c r="K1945" i="4"/>
  <c r="E1945" i="4"/>
  <c r="B1945" i="4"/>
  <c r="U1944" i="4"/>
  <c r="K1944" i="4"/>
  <c r="E1944" i="4"/>
  <c r="B1944" i="4"/>
  <c r="U1943" i="4"/>
  <c r="K1943" i="4"/>
  <c r="E1943" i="4"/>
  <c r="B1943" i="4"/>
  <c r="U1942" i="4"/>
  <c r="K1942" i="4"/>
  <c r="E1942" i="4"/>
  <c r="B1942" i="4"/>
  <c r="U1941" i="4"/>
  <c r="K1941" i="4"/>
  <c r="E1941" i="4"/>
  <c r="B1941" i="4"/>
  <c r="U1940" i="4"/>
  <c r="K1940" i="4"/>
  <c r="E1940" i="4"/>
  <c r="B1940" i="4"/>
  <c r="U1939" i="4"/>
  <c r="K1939" i="4"/>
  <c r="E1939" i="4"/>
  <c r="B1939" i="4"/>
  <c r="U1938" i="4"/>
  <c r="K1938" i="4"/>
  <c r="E1938" i="4"/>
  <c r="B1938" i="4"/>
  <c r="U1937" i="4"/>
  <c r="K1937" i="4"/>
  <c r="E1937" i="4"/>
  <c r="B1937" i="4"/>
  <c r="U1936" i="4"/>
  <c r="K1936" i="4"/>
  <c r="E1936" i="4"/>
  <c r="B1936" i="4"/>
  <c r="U1935" i="4"/>
  <c r="K1935" i="4"/>
  <c r="E1935" i="4"/>
  <c r="B1935" i="4"/>
  <c r="U1934" i="4"/>
  <c r="K1934" i="4"/>
  <c r="E1934" i="4"/>
  <c r="B1934" i="4"/>
  <c r="U1933" i="4"/>
  <c r="K1933" i="4"/>
  <c r="E1933" i="4"/>
  <c r="B1933" i="4"/>
  <c r="U1932" i="4"/>
  <c r="K1932" i="4"/>
  <c r="E1932" i="4"/>
  <c r="B1932" i="4"/>
  <c r="U1931" i="4"/>
  <c r="K1931" i="4"/>
  <c r="E1931" i="4"/>
  <c r="B1931" i="4"/>
  <c r="U1930" i="4"/>
  <c r="K1930" i="4"/>
  <c r="E1930" i="4"/>
  <c r="B1930" i="4"/>
  <c r="U1929" i="4"/>
  <c r="K1929" i="4"/>
  <c r="E1929" i="4"/>
  <c r="B1929" i="4"/>
  <c r="U1928" i="4"/>
  <c r="K1928" i="4"/>
  <c r="E1928" i="4"/>
  <c r="B1928" i="4"/>
  <c r="U1927" i="4"/>
  <c r="K1927" i="4"/>
  <c r="E1927" i="4"/>
  <c r="B1927" i="4"/>
  <c r="U1926" i="4"/>
  <c r="K1926" i="4"/>
  <c r="E1926" i="4"/>
  <c r="B1926" i="4"/>
  <c r="U1925" i="4"/>
  <c r="K1925" i="4"/>
  <c r="E1925" i="4"/>
  <c r="B1925" i="4"/>
  <c r="U1924" i="4"/>
  <c r="K1924" i="4"/>
  <c r="E1924" i="4"/>
  <c r="B1924" i="4"/>
  <c r="U1923" i="4"/>
  <c r="K1923" i="4"/>
  <c r="E1923" i="4"/>
  <c r="B1923" i="4"/>
  <c r="U1922" i="4"/>
  <c r="K1922" i="4"/>
  <c r="E1922" i="4"/>
  <c r="B1922" i="4"/>
  <c r="U1921" i="4"/>
  <c r="K1921" i="4"/>
  <c r="E1921" i="4"/>
  <c r="B1921" i="4"/>
  <c r="U1920" i="4"/>
  <c r="K1920" i="4"/>
  <c r="E1920" i="4"/>
  <c r="B1920" i="4"/>
  <c r="U1919" i="4"/>
  <c r="K1919" i="4"/>
  <c r="E1919" i="4"/>
  <c r="B1919" i="4"/>
  <c r="U1918" i="4"/>
  <c r="K1918" i="4"/>
  <c r="E1918" i="4"/>
  <c r="B1918" i="4"/>
  <c r="U1917" i="4"/>
  <c r="K1917" i="4"/>
  <c r="E1917" i="4"/>
  <c r="B1917" i="4"/>
  <c r="U1916" i="4"/>
  <c r="K1916" i="4"/>
  <c r="E1916" i="4"/>
  <c r="B1916" i="4"/>
  <c r="U1915" i="4"/>
  <c r="K1915" i="4"/>
  <c r="E1915" i="4"/>
  <c r="B1915" i="4"/>
  <c r="U1914" i="4"/>
  <c r="K1914" i="4"/>
  <c r="E1914" i="4"/>
  <c r="B1914" i="4"/>
  <c r="U1913" i="4"/>
  <c r="K1913" i="4"/>
  <c r="E1913" i="4"/>
  <c r="B1913" i="4"/>
  <c r="U1912" i="4"/>
  <c r="K1912" i="4"/>
  <c r="E1912" i="4"/>
  <c r="B1912" i="4"/>
  <c r="U1911" i="4"/>
  <c r="K1911" i="4"/>
  <c r="E1911" i="4"/>
  <c r="B1911" i="4"/>
  <c r="U1910" i="4"/>
  <c r="K1910" i="4"/>
  <c r="E1910" i="4"/>
  <c r="B1910" i="4"/>
  <c r="U1909" i="4"/>
  <c r="K1909" i="4"/>
  <c r="E1909" i="4"/>
  <c r="B1909" i="4"/>
  <c r="U1908" i="4"/>
  <c r="K1908" i="4"/>
  <c r="E1908" i="4"/>
  <c r="B1908" i="4"/>
  <c r="U1907" i="4"/>
  <c r="K1907" i="4"/>
  <c r="E1907" i="4"/>
  <c r="B1907" i="4"/>
  <c r="U1906" i="4"/>
  <c r="K1906" i="4"/>
  <c r="E1906" i="4"/>
  <c r="B1906" i="4"/>
  <c r="U1905" i="4"/>
  <c r="K1905" i="4"/>
  <c r="E1905" i="4"/>
  <c r="B1905" i="4"/>
  <c r="U1904" i="4"/>
  <c r="K1904" i="4"/>
  <c r="E1904" i="4"/>
  <c r="B1904" i="4"/>
  <c r="U1903" i="4"/>
  <c r="K1903" i="4"/>
  <c r="E1903" i="4"/>
  <c r="B1903" i="4"/>
  <c r="U1902" i="4"/>
  <c r="K1902" i="4"/>
  <c r="E1902" i="4"/>
  <c r="B1902" i="4"/>
  <c r="U1901" i="4"/>
  <c r="K1901" i="4"/>
  <c r="E1901" i="4"/>
  <c r="B1901" i="4"/>
  <c r="U1900" i="4"/>
  <c r="K1900" i="4"/>
  <c r="E1900" i="4"/>
  <c r="B1900" i="4"/>
  <c r="U1899" i="4"/>
  <c r="K1899" i="4"/>
  <c r="E1899" i="4"/>
  <c r="B1899" i="4"/>
  <c r="U1898" i="4"/>
  <c r="K1898" i="4"/>
  <c r="E1898" i="4"/>
  <c r="B1898" i="4"/>
  <c r="U1897" i="4"/>
  <c r="K1897" i="4"/>
  <c r="E1897" i="4"/>
  <c r="B1897" i="4"/>
  <c r="U1896" i="4"/>
  <c r="K1896" i="4"/>
  <c r="E1896" i="4"/>
  <c r="B1896" i="4"/>
  <c r="U1895" i="4"/>
  <c r="K1895" i="4"/>
  <c r="E1895" i="4"/>
  <c r="B1895" i="4"/>
  <c r="U1894" i="4"/>
  <c r="K1894" i="4"/>
  <c r="E1894" i="4"/>
  <c r="B1894" i="4"/>
  <c r="U1893" i="4"/>
  <c r="K1893" i="4"/>
  <c r="E1893" i="4"/>
  <c r="B1893" i="4"/>
  <c r="U1892" i="4"/>
  <c r="K1892" i="4"/>
  <c r="E1892" i="4"/>
  <c r="B1892" i="4"/>
  <c r="U1891" i="4"/>
  <c r="K1891" i="4"/>
  <c r="E1891" i="4"/>
  <c r="B1891" i="4"/>
  <c r="U1890" i="4"/>
  <c r="K1890" i="4"/>
  <c r="E1890" i="4"/>
  <c r="B1890" i="4"/>
  <c r="U1889" i="4"/>
  <c r="K1889" i="4"/>
  <c r="E1889" i="4"/>
  <c r="B1889" i="4"/>
  <c r="U1888" i="4"/>
  <c r="K1888" i="4"/>
  <c r="E1888" i="4"/>
  <c r="B1888" i="4"/>
  <c r="U1887" i="4"/>
  <c r="K1887" i="4"/>
  <c r="E1887" i="4"/>
  <c r="B1887" i="4"/>
  <c r="U1886" i="4"/>
  <c r="K1886" i="4"/>
  <c r="E1886" i="4"/>
  <c r="B1886" i="4"/>
  <c r="U1885" i="4"/>
  <c r="K1885" i="4"/>
  <c r="E1885" i="4"/>
  <c r="B1885" i="4"/>
  <c r="U1884" i="4"/>
  <c r="K1884" i="4"/>
  <c r="E1884" i="4"/>
  <c r="B1884" i="4"/>
  <c r="U1883" i="4"/>
  <c r="K1883" i="4"/>
  <c r="E1883" i="4"/>
  <c r="B1883" i="4"/>
  <c r="U1882" i="4"/>
  <c r="K1882" i="4"/>
  <c r="E1882" i="4"/>
  <c r="B1882" i="4"/>
  <c r="U1881" i="4"/>
  <c r="K1881" i="4"/>
  <c r="E1881" i="4"/>
  <c r="B1881" i="4"/>
  <c r="U1880" i="4"/>
  <c r="K1880" i="4"/>
  <c r="E1880" i="4"/>
  <c r="B1880" i="4"/>
  <c r="U1879" i="4"/>
  <c r="K1879" i="4"/>
  <c r="E1879" i="4"/>
  <c r="B1879" i="4"/>
  <c r="U1878" i="4"/>
  <c r="K1878" i="4"/>
  <c r="E1878" i="4"/>
  <c r="B1878" i="4"/>
  <c r="U1877" i="4"/>
  <c r="K1877" i="4"/>
  <c r="E1877" i="4"/>
  <c r="B1877" i="4"/>
  <c r="U1876" i="4"/>
  <c r="K1876" i="4"/>
  <c r="E1876" i="4"/>
  <c r="B1876" i="4"/>
  <c r="U1875" i="4"/>
  <c r="K1875" i="4"/>
  <c r="E1875" i="4"/>
  <c r="B1875" i="4"/>
  <c r="U1874" i="4"/>
  <c r="K1874" i="4"/>
  <c r="E1874" i="4"/>
  <c r="B1874" i="4"/>
  <c r="U1873" i="4"/>
  <c r="K1873" i="4"/>
  <c r="E1873" i="4"/>
  <c r="B1873" i="4"/>
  <c r="U1872" i="4"/>
  <c r="K1872" i="4"/>
  <c r="E1872" i="4"/>
  <c r="B1872" i="4"/>
  <c r="U1871" i="4"/>
  <c r="K1871" i="4"/>
  <c r="E1871" i="4"/>
  <c r="B1871" i="4"/>
  <c r="U1870" i="4"/>
  <c r="K1870" i="4"/>
  <c r="E1870" i="4"/>
  <c r="B1870" i="4"/>
  <c r="U1869" i="4"/>
  <c r="K1869" i="4"/>
  <c r="E1869" i="4"/>
  <c r="B1869" i="4"/>
  <c r="U1868" i="4"/>
  <c r="K1868" i="4"/>
  <c r="E1868" i="4"/>
  <c r="B1868" i="4"/>
  <c r="U1867" i="4"/>
  <c r="K1867" i="4"/>
  <c r="E1867" i="4"/>
  <c r="B1867" i="4"/>
  <c r="U1866" i="4"/>
  <c r="K1866" i="4"/>
  <c r="E1866" i="4"/>
  <c r="B1866" i="4"/>
  <c r="U1865" i="4"/>
  <c r="K1865" i="4"/>
  <c r="E1865" i="4"/>
  <c r="B1865" i="4"/>
  <c r="U1864" i="4"/>
  <c r="K1864" i="4"/>
  <c r="E1864" i="4"/>
  <c r="B1864" i="4"/>
  <c r="U1863" i="4"/>
  <c r="K1863" i="4"/>
  <c r="E1863" i="4"/>
  <c r="B1863" i="4"/>
  <c r="U1862" i="4"/>
  <c r="K1862" i="4"/>
  <c r="E1862" i="4"/>
  <c r="B1862" i="4"/>
  <c r="U1861" i="4"/>
  <c r="K1861" i="4"/>
  <c r="E1861" i="4"/>
  <c r="B1861" i="4"/>
  <c r="U1860" i="4"/>
  <c r="K1860" i="4"/>
  <c r="E1860" i="4"/>
  <c r="B1860" i="4"/>
  <c r="U1859" i="4"/>
  <c r="K1859" i="4"/>
  <c r="E1859" i="4"/>
  <c r="B1859" i="4"/>
  <c r="U1858" i="4"/>
  <c r="K1858" i="4"/>
  <c r="E1858" i="4"/>
  <c r="B1858" i="4"/>
  <c r="U1857" i="4"/>
  <c r="K1857" i="4"/>
  <c r="E1857" i="4"/>
  <c r="B1857" i="4"/>
  <c r="U1856" i="4"/>
  <c r="K1856" i="4"/>
  <c r="E1856" i="4"/>
  <c r="B1856" i="4"/>
  <c r="U1855" i="4"/>
  <c r="K1855" i="4"/>
  <c r="E1855" i="4"/>
  <c r="B1855" i="4"/>
  <c r="U1854" i="4"/>
  <c r="K1854" i="4"/>
  <c r="E1854" i="4"/>
  <c r="B1854" i="4"/>
  <c r="U1853" i="4"/>
  <c r="K1853" i="4"/>
  <c r="E1853" i="4"/>
  <c r="B1853" i="4"/>
  <c r="U1852" i="4"/>
  <c r="K1852" i="4"/>
  <c r="E1852" i="4"/>
  <c r="B1852" i="4"/>
  <c r="U1851" i="4"/>
  <c r="K1851" i="4"/>
  <c r="E1851" i="4"/>
  <c r="B1851" i="4"/>
  <c r="U1850" i="4"/>
  <c r="K1850" i="4"/>
  <c r="E1850" i="4"/>
  <c r="B1850" i="4"/>
  <c r="U1849" i="4"/>
  <c r="K1849" i="4"/>
  <c r="E1849" i="4"/>
  <c r="B1849" i="4"/>
  <c r="U1848" i="4"/>
  <c r="K1848" i="4"/>
  <c r="E1848" i="4"/>
  <c r="B1848" i="4"/>
  <c r="U1847" i="4"/>
  <c r="K1847" i="4"/>
  <c r="E1847" i="4"/>
  <c r="B1847" i="4"/>
  <c r="U1846" i="4"/>
  <c r="K1846" i="4"/>
  <c r="E1846" i="4"/>
  <c r="B1846" i="4"/>
  <c r="U1845" i="4"/>
  <c r="K1845" i="4"/>
  <c r="E1845" i="4"/>
  <c r="B1845" i="4"/>
  <c r="U1844" i="4"/>
  <c r="K1844" i="4"/>
  <c r="E1844" i="4"/>
  <c r="B1844" i="4"/>
  <c r="U1843" i="4"/>
  <c r="K1843" i="4"/>
  <c r="E1843" i="4"/>
  <c r="B1843" i="4"/>
  <c r="U1842" i="4"/>
  <c r="K1842" i="4"/>
  <c r="E1842" i="4"/>
  <c r="B1842" i="4"/>
  <c r="U1841" i="4"/>
  <c r="K1841" i="4"/>
  <c r="E1841" i="4"/>
  <c r="B1841" i="4"/>
  <c r="U1840" i="4"/>
  <c r="K1840" i="4"/>
  <c r="E1840" i="4"/>
  <c r="B1840" i="4"/>
  <c r="U1839" i="4"/>
  <c r="K1839" i="4"/>
  <c r="E1839" i="4"/>
  <c r="B1839" i="4"/>
  <c r="U1838" i="4"/>
  <c r="K1838" i="4"/>
  <c r="E1838" i="4"/>
  <c r="B1838" i="4"/>
  <c r="U1837" i="4"/>
  <c r="K1837" i="4"/>
  <c r="E1837" i="4"/>
  <c r="B1837" i="4"/>
  <c r="U1836" i="4"/>
  <c r="K1836" i="4"/>
  <c r="E1836" i="4"/>
  <c r="B1836" i="4"/>
  <c r="U1835" i="4"/>
  <c r="K1835" i="4"/>
  <c r="E1835" i="4"/>
  <c r="B1835" i="4"/>
  <c r="U1834" i="4"/>
  <c r="K1834" i="4"/>
  <c r="E1834" i="4"/>
  <c r="B1834" i="4"/>
  <c r="U1833" i="4"/>
  <c r="K1833" i="4"/>
  <c r="E1833" i="4"/>
  <c r="B1833" i="4"/>
  <c r="U1832" i="4"/>
  <c r="K1832" i="4"/>
  <c r="E1832" i="4"/>
  <c r="B1832" i="4"/>
  <c r="U1831" i="4"/>
  <c r="K1831" i="4"/>
  <c r="E1831" i="4"/>
  <c r="B1831" i="4"/>
  <c r="U1830" i="4"/>
  <c r="K1830" i="4"/>
  <c r="E1830" i="4"/>
  <c r="B1830" i="4"/>
  <c r="U1829" i="4"/>
  <c r="K1829" i="4"/>
  <c r="E1829" i="4"/>
  <c r="B1829" i="4"/>
  <c r="U1828" i="4"/>
  <c r="K1828" i="4"/>
  <c r="E1828" i="4"/>
  <c r="B1828" i="4"/>
  <c r="U1827" i="4"/>
  <c r="K1827" i="4"/>
  <c r="E1827" i="4"/>
  <c r="B1827" i="4"/>
  <c r="U1826" i="4"/>
  <c r="K1826" i="4"/>
  <c r="E1826" i="4"/>
  <c r="B1826" i="4"/>
  <c r="U1825" i="4"/>
  <c r="K1825" i="4"/>
  <c r="E1825" i="4"/>
  <c r="B1825" i="4"/>
  <c r="U1824" i="4"/>
  <c r="K1824" i="4"/>
  <c r="E1824" i="4"/>
  <c r="B1824" i="4"/>
  <c r="U1823" i="4"/>
  <c r="K1823" i="4"/>
  <c r="E1823" i="4"/>
  <c r="B1823" i="4"/>
  <c r="U1822" i="4"/>
  <c r="K1822" i="4"/>
  <c r="E1822" i="4"/>
  <c r="B1822" i="4"/>
  <c r="U1821" i="4"/>
  <c r="K1821" i="4"/>
  <c r="E1821" i="4"/>
  <c r="B1821" i="4"/>
  <c r="U1820" i="4"/>
  <c r="K1820" i="4"/>
  <c r="E1820" i="4"/>
  <c r="B1820" i="4"/>
  <c r="U1819" i="4"/>
  <c r="K1819" i="4"/>
  <c r="E1819" i="4"/>
  <c r="B1819" i="4"/>
  <c r="U1818" i="4"/>
  <c r="K1818" i="4"/>
  <c r="E1818" i="4"/>
  <c r="B1818" i="4"/>
  <c r="U1817" i="4"/>
  <c r="K1817" i="4"/>
  <c r="E1817" i="4"/>
  <c r="B1817" i="4"/>
  <c r="U1816" i="4"/>
  <c r="K1816" i="4"/>
  <c r="E1816" i="4"/>
  <c r="B1816" i="4"/>
  <c r="U1815" i="4"/>
  <c r="K1815" i="4"/>
  <c r="E1815" i="4"/>
  <c r="B1815" i="4"/>
  <c r="K1814" i="4"/>
  <c r="E1814" i="4"/>
  <c r="B1814" i="4"/>
  <c r="U1813" i="4"/>
  <c r="K1813" i="4"/>
  <c r="E1813" i="4"/>
  <c r="B1813" i="4"/>
  <c r="U1812" i="4"/>
  <c r="K1812" i="4"/>
  <c r="E1812" i="4"/>
  <c r="B1812" i="4"/>
  <c r="U1811" i="4"/>
  <c r="K1811" i="4"/>
  <c r="E1811" i="4"/>
  <c r="B1811" i="4"/>
  <c r="U1810" i="4"/>
  <c r="K1810" i="4"/>
  <c r="E1810" i="4"/>
  <c r="B1810" i="4"/>
  <c r="U1809" i="4"/>
  <c r="K1809" i="4"/>
  <c r="E1809" i="4"/>
  <c r="B1809" i="4"/>
  <c r="U1808" i="4"/>
  <c r="K1808" i="4"/>
  <c r="E1808" i="4"/>
  <c r="B1808" i="4"/>
  <c r="U1807" i="4"/>
  <c r="K1807" i="4"/>
  <c r="E1807" i="4"/>
  <c r="B1807" i="4"/>
  <c r="U1806" i="4"/>
  <c r="K1806" i="4"/>
  <c r="E1806" i="4"/>
  <c r="B1806" i="4"/>
  <c r="U1805" i="4"/>
  <c r="K1805" i="4"/>
  <c r="E1805" i="4"/>
  <c r="B1805" i="4"/>
  <c r="U1804" i="4"/>
  <c r="K1804" i="4"/>
  <c r="E1804" i="4"/>
  <c r="B1804" i="4"/>
  <c r="U1803" i="4"/>
  <c r="K1803" i="4"/>
  <c r="E1803" i="4"/>
  <c r="B1803" i="4"/>
  <c r="U1802" i="4"/>
  <c r="K1802" i="4"/>
  <c r="E1802" i="4"/>
  <c r="B1802" i="4"/>
  <c r="K1801" i="4"/>
  <c r="E1801" i="4"/>
  <c r="B1801" i="4"/>
  <c r="U1800" i="4"/>
  <c r="K1800" i="4"/>
  <c r="E1800" i="4"/>
  <c r="B1800" i="4"/>
  <c r="U1799" i="4"/>
  <c r="K1799" i="4"/>
  <c r="E1799" i="4"/>
  <c r="B1799" i="4"/>
  <c r="U1798" i="4"/>
  <c r="K1798" i="4"/>
  <c r="E1798" i="4"/>
  <c r="B1798" i="4"/>
  <c r="U1797" i="4"/>
  <c r="K1797" i="4"/>
  <c r="E1797" i="4"/>
  <c r="B1797" i="4"/>
  <c r="U1796" i="4"/>
  <c r="K1796" i="4"/>
  <c r="E1796" i="4"/>
  <c r="B1796" i="4"/>
  <c r="U1795" i="4"/>
  <c r="K1795" i="4"/>
  <c r="E1795" i="4"/>
  <c r="B1795" i="4"/>
  <c r="U1794" i="4"/>
  <c r="K1794" i="4"/>
  <c r="E1794" i="4"/>
  <c r="B1794" i="4"/>
  <c r="U1793" i="4"/>
  <c r="K1793" i="4"/>
  <c r="E1793" i="4"/>
  <c r="B1793" i="4"/>
  <c r="U1792" i="4"/>
  <c r="K1792" i="4"/>
  <c r="E1792" i="4"/>
  <c r="B1792" i="4"/>
  <c r="U1791" i="4"/>
  <c r="K1791" i="4"/>
  <c r="E1791" i="4"/>
  <c r="B1791" i="4"/>
  <c r="U1790" i="4"/>
  <c r="K1790" i="4"/>
  <c r="E1790" i="4"/>
  <c r="B1790" i="4"/>
  <c r="U1789" i="4"/>
  <c r="K1789" i="4"/>
  <c r="E1789" i="4"/>
  <c r="B1789" i="4"/>
  <c r="U1788" i="4"/>
  <c r="K1788" i="4"/>
  <c r="E1788" i="4"/>
  <c r="B1788" i="4"/>
  <c r="U1787" i="4"/>
  <c r="K1787" i="4"/>
  <c r="E1787" i="4"/>
  <c r="B1787" i="4"/>
  <c r="U1786" i="4"/>
  <c r="K1786" i="4"/>
  <c r="E1786" i="4"/>
  <c r="B1786" i="4"/>
  <c r="U1785" i="4"/>
  <c r="K1785" i="4"/>
  <c r="E1785" i="4"/>
  <c r="B1785" i="4"/>
  <c r="U1784" i="4"/>
  <c r="K1784" i="4"/>
  <c r="E1784" i="4"/>
  <c r="B1784" i="4"/>
  <c r="U1783" i="4"/>
  <c r="K1783" i="4"/>
  <c r="E1783" i="4"/>
  <c r="B1783" i="4"/>
  <c r="U1782" i="4"/>
  <c r="K1782" i="4"/>
  <c r="E1782" i="4"/>
  <c r="B1782" i="4"/>
  <c r="U1781" i="4"/>
  <c r="K1781" i="4"/>
  <c r="E1781" i="4"/>
  <c r="B1781" i="4"/>
  <c r="U1780" i="4"/>
  <c r="K1780" i="4"/>
  <c r="E1780" i="4"/>
  <c r="B1780" i="4"/>
  <c r="U1779" i="4"/>
  <c r="K1779" i="4"/>
  <c r="E1779" i="4"/>
  <c r="B1779" i="4"/>
  <c r="U1778" i="4"/>
  <c r="K1778" i="4"/>
  <c r="E1778" i="4"/>
  <c r="B1778" i="4"/>
  <c r="U1777" i="4"/>
  <c r="K1777" i="4"/>
  <c r="E1777" i="4"/>
  <c r="B1777" i="4"/>
  <c r="U1776" i="4"/>
  <c r="K1776" i="4"/>
  <c r="E1776" i="4"/>
  <c r="B1776" i="4"/>
  <c r="U1775" i="4"/>
  <c r="K1775" i="4"/>
  <c r="E1775" i="4"/>
  <c r="B1775" i="4"/>
  <c r="U1774" i="4"/>
  <c r="K1774" i="4"/>
  <c r="E1774" i="4"/>
  <c r="B1774" i="4"/>
  <c r="U1773" i="4"/>
  <c r="K1773" i="4"/>
  <c r="E1773" i="4"/>
  <c r="B1773" i="4"/>
  <c r="U1772" i="4"/>
  <c r="K1772" i="4"/>
  <c r="E1772" i="4"/>
  <c r="B1772" i="4"/>
  <c r="U1771" i="4"/>
  <c r="K1771" i="4"/>
  <c r="E1771" i="4"/>
  <c r="B1771" i="4"/>
  <c r="U1770" i="4"/>
  <c r="K1770" i="4"/>
  <c r="E1770" i="4"/>
  <c r="B1770" i="4"/>
  <c r="U1769" i="4"/>
  <c r="K1769" i="4"/>
  <c r="E1769" i="4"/>
  <c r="B1769" i="4"/>
  <c r="U1768" i="4"/>
  <c r="K1768" i="4"/>
  <c r="E1768" i="4"/>
  <c r="B1768" i="4"/>
  <c r="U1767" i="4"/>
  <c r="K1767" i="4"/>
  <c r="E1767" i="4"/>
  <c r="B1767" i="4"/>
  <c r="U1766" i="4"/>
  <c r="K1766" i="4"/>
  <c r="E1766" i="4"/>
  <c r="B1766" i="4"/>
  <c r="U1765" i="4"/>
  <c r="K1765" i="4"/>
  <c r="E1765" i="4"/>
  <c r="B1765" i="4"/>
  <c r="U1764" i="4"/>
  <c r="K1764" i="4"/>
  <c r="E1764" i="4"/>
  <c r="B1764" i="4"/>
  <c r="U1763" i="4"/>
  <c r="K1763" i="4"/>
  <c r="E1763" i="4"/>
  <c r="B1763" i="4"/>
  <c r="U1762" i="4"/>
  <c r="K1762" i="4"/>
  <c r="E1762" i="4"/>
  <c r="B1762" i="4"/>
  <c r="U1761" i="4"/>
  <c r="K1761" i="4"/>
  <c r="E1761" i="4"/>
  <c r="B1761" i="4"/>
  <c r="U1760" i="4"/>
  <c r="K1760" i="4"/>
  <c r="E1760" i="4"/>
  <c r="B1760" i="4"/>
  <c r="U1759" i="4"/>
  <c r="K1759" i="4"/>
  <c r="E1759" i="4"/>
  <c r="B1759" i="4"/>
  <c r="U1758" i="4"/>
  <c r="K1758" i="4"/>
  <c r="E1758" i="4"/>
  <c r="B1758" i="4"/>
  <c r="U1757" i="4"/>
  <c r="K1757" i="4"/>
  <c r="E1757" i="4"/>
  <c r="B1757" i="4"/>
  <c r="U1756" i="4"/>
  <c r="K1756" i="4"/>
  <c r="E1756" i="4"/>
  <c r="B1756" i="4"/>
  <c r="U1755" i="4"/>
  <c r="K1755" i="4"/>
  <c r="E1755" i="4"/>
  <c r="B1755" i="4"/>
  <c r="U1754" i="4"/>
  <c r="K1754" i="4"/>
  <c r="E1754" i="4"/>
  <c r="B1754" i="4"/>
  <c r="U1753" i="4"/>
  <c r="K1753" i="4"/>
  <c r="E1753" i="4"/>
  <c r="B1753" i="4"/>
  <c r="U1752" i="4"/>
  <c r="K1752" i="4"/>
  <c r="E1752" i="4"/>
  <c r="B1752" i="4"/>
  <c r="U1751" i="4"/>
  <c r="K1751" i="4"/>
  <c r="E1751" i="4"/>
  <c r="B1751" i="4"/>
  <c r="U1750" i="4"/>
  <c r="K1750" i="4"/>
  <c r="E1750" i="4"/>
  <c r="B1750" i="4"/>
  <c r="U1749" i="4"/>
  <c r="K1749" i="4"/>
  <c r="E1749" i="4"/>
  <c r="B1749" i="4"/>
  <c r="U1748" i="4"/>
  <c r="K1748" i="4"/>
  <c r="E1748" i="4"/>
  <c r="B1748" i="4"/>
  <c r="U1747" i="4"/>
  <c r="K1747" i="4"/>
  <c r="E1747" i="4"/>
  <c r="B1747" i="4"/>
  <c r="U1746" i="4"/>
  <c r="K1746" i="4"/>
  <c r="E1746" i="4"/>
  <c r="B1746" i="4"/>
  <c r="U1745" i="4"/>
  <c r="K1745" i="4"/>
  <c r="E1745" i="4"/>
  <c r="B1745" i="4"/>
  <c r="U1744" i="4"/>
  <c r="K1744" i="4"/>
  <c r="E1744" i="4"/>
  <c r="B1744" i="4"/>
  <c r="U1743" i="4"/>
  <c r="K1743" i="4"/>
  <c r="E1743" i="4"/>
  <c r="B1743" i="4"/>
  <c r="U1742" i="4"/>
  <c r="K1742" i="4"/>
  <c r="E1742" i="4"/>
  <c r="B1742" i="4"/>
  <c r="U1741" i="4"/>
  <c r="K1741" i="4"/>
  <c r="E1741" i="4"/>
  <c r="B1741" i="4"/>
  <c r="U1740" i="4"/>
  <c r="K1740" i="4"/>
  <c r="E1740" i="4"/>
  <c r="B1740" i="4"/>
  <c r="U1739" i="4"/>
  <c r="K1739" i="4"/>
  <c r="E1739" i="4"/>
  <c r="B1739" i="4"/>
  <c r="U1738" i="4"/>
  <c r="K1738" i="4"/>
  <c r="E1738" i="4"/>
  <c r="B1738" i="4"/>
  <c r="U1737" i="4"/>
  <c r="K1737" i="4"/>
  <c r="E1737" i="4"/>
  <c r="B1737" i="4"/>
  <c r="U1736" i="4"/>
  <c r="K1736" i="4"/>
  <c r="E1736" i="4"/>
  <c r="B1736" i="4"/>
  <c r="U1735" i="4"/>
  <c r="K1735" i="4"/>
  <c r="E1735" i="4"/>
  <c r="B1735" i="4"/>
  <c r="U1734" i="4"/>
  <c r="K1734" i="4"/>
  <c r="E1734" i="4"/>
  <c r="B1734" i="4"/>
  <c r="U1733" i="4"/>
  <c r="K1733" i="4"/>
  <c r="E1733" i="4"/>
  <c r="B1733" i="4"/>
  <c r="U1732" i="4"/>
  <c r="K1732" i="4"/>
  <c r="E1732" i="4"/>
  <c r="B1732" i="4"/>
  <c r="U1731" i="4"/>
  <c r="K1731" i="4"/>
  <c r="E1731" i="4"/>
  <c r="B1731" i="4"/>
  <c r="U1730" i="4"/>
  <c r="K1730" i="4"/>
  <c r="E1730" i="4"/>
  <c r="B1730" i="4"/>
  <c r="U1729" i="4"/>
  <c r="K1729" i="4"/>
  <c r="E1729" i="4"/>
  <c r="B1729" i="4"/>
  <c r="U1728" i="4"/>
  <c r="K1728" i="4"/>
  <c r="E1728" i="4"/>
  <c r="B1728" i="4"/>
  <c r="U1727" i="4"/>
  <c r="K1727" i="4"/>
  <c r="E1727" i="4"/>
  <c r="B1727" i="4"/>
  <c r="U1726" i="4"/>
  <c r="K1726" i="4"/>
  <c r="E1726" i="4"/>
  <c r="B1726" i="4"/>
  <c r="U1725" i="4"/>
  <c r="K1725" i="4"/>
  <c r="E1725" i="4"/>
  <c r="B1725" i="4"/>
  <c r="U1724" i="4"/>
  <c r="K1724" i="4"/>
  <c r="E1724" i="4"/>
  <c r="B1724" i="4"/>
  <c r="U1723" i="4"/>
  <c r="K1723" i="4"/>
  <c r="E1723" i="4"/>
  <c r="B1723" i="4"/>
  <c r="U1722" i="4"/>
  <c r="K1722" i="4"/>
  <c r="E1722" i="4"/>
  <c r="B1722" i="4"/>
  <c r="U1721" i="4"/>
  <c r="K1721" i="4"/>
  <c r="E1721" i="4"/>
  <c r="B1721" i="4"/>
  <c r="U1720" i="4"/>
  <c r="K1720" i="4"/>
  <c r="E1720" i="4"/>
  <c r="B1720" i="4"/>
  <c r="U1719" i="4"/>
  <c r="K1719" i="4"/>
  <c r="E1719" i="4"/>
  <c r="B1719" i="4"/>
  <c r="U1718" i="4"/>
  <c r="K1718" i="4"/>
  <c r="E1718" i="4"/>
  <c r="B1718" i="4"/>
  <c r="U1717" i="4"/>
  <c r="K1717" i="4"/>
  <c r="E1717" i="4"/>
  <c r="B1717" i="4"/>
  <c r="U1716" i="4"/>
  <c r="K1716" i="4"/>
  <c r="E1716" i="4"/>
  <c r="B1716" i="4"/>
  <c r="U1715" i="4"/>
  <c r="K1715" i="4"/>
  <c r="E1715" i="4"/>
  <c r="B1715" i="4"/>
  <c r="U1714" i="4"/>
  <c r="K1714" i="4"/>
  <c r="E1714" i="4"/>
  <c r="B1714" i="4"/>
  <c r="U1713" i="4"/>
  <c r="K1713" i="4"/>
  <c r="E1713" i="4"/>
  <c r="B1713" i="4"/>
  <c r="U1712" i="4"/>
  <c r="K1712" i="4"/>
  <c r="E1712" i="4"/>
  <c r="B1712" i="4"/>
  <c r="U1711" i="4"/>
  <c r="K1711" i="4"/>
  <c r="E1711" i="4"/>
  <c r="B1711" i="4"/>
  <c r="U1710" i="4"/>
  <c r="K1710" i="4"/>
  <c r="E1710" i="4"/>
  <c r="B1710" i="4"/>
  <c r="U1709" i="4"/>
  <c r="K1709" i="4"/>
  <c r="E1709" i="4"/>
  <c r="B1709" i="4"/>
  <c r="U1708" i="4"/>
  <c r="K1708" i="4"/>
  <c r="E1708" i="4"/>
  <c r="B1708" i="4"/>
  <c r="U1707" i="4"/>
  <c r="K1707" i="4"/>
  <c r="E1707" i="4"/>
  <c r="B1707" i="4"/>
  <c r="U1706" i="4"/>
  <c r="K1706" i="4"/>
  <c r="E1706" i="4"/>
  <c r="B1706" i="4"/>
  <c r="U1705" i="4"/>
  <c r="K1705" i="4"/>
  <c r="E1705" i="4"/>
  <c r="B1705" i="4"/>
  <c r="U1704" i="4"/>
  <c r="K1704" i="4"/>
  <c r="E1704" i="4"/>
  <c r="B1704" i="4"/>
  <c r="U1703" i="4"/>
  <c r="K1703" i="4"/>
  <c r="E1703" i="4"/>
  <c r="B1703" i="4"/>
  <c r="U1702" i="4"/>
  <c r="K1702" i="4"/>
  <c r="E1702" i="4"/>
  <c r="B1702" i="4"/>
  <c r="U1701" i="4"/>
  <c r="K1701" i="4"/>
  <c r="E1701" i="4"/>
  <c r="B1701" i="4"/>
  <c r="U1700" i="4"/>
  <c r="K1700" i="4"/>
  <c r="E1700" i="4"/>
  <c r="B1700" i="4"/>
  <c r="U1699" i="4"/>
  <c r="K1699" i="4"/>
  <c r="E1699" i="4"/>
  <c r="B1699" i="4"/>
  <c r="U1698" i="4"/>
  <c r="K1698" i="4"/>
  <c r="E1698" i="4"/>
  <c r="B1698" i="4"/>
  <c r="U1697" i="4"/>
  <c r="K1697" i="4"/>
  <c r="E1697" i="4"/>
  <c r="B1697" i="4"/>
  <c r="U1696" i="4"/>
  <c r="K1696" i="4"/>
  <c r="E1696" i="4"/>
  <c r="B1696" i="4"/>
  <c r="U1695" i="4"/>
  <c r="K1695" i="4"/>
  <c r="E1695" i="4"/>
  <c r="B1695" i="4"/>
  <c r="U1694" i="4"/>
  <c r="K1694" i="4"/>
  <c r="E1694" i="4"/>
  <c r="B1694" i="4"/>
  <c r="U1693" i="4"/>
  <c r="K1693" i="4"/>
  <c r="E1693" i="4"/>
  <c r="B1693" i="4"/>
  <c r="U1692" i="4"/>
  <c r="K1692" i="4"/>
  <c r="E1692" i="4"/>
  <c r="B1692" i="4"/>
  <c r="K1691" i="4"/>
  <c r="E1691" i="4"/>
  <c r="B1691" i="4"/>
  <c r="U1690" i="4"/>
  <c r="K1690" i="4"/>
  <c r="E1690" i="4"/>
  <c r="B1690" i="4"/>
  <c r="U1689" i="4"/>
  <c r="K1689" i="4"/>
  <c r="E1689" i="4"/>
  <c r="B1689" i="4"/>
  <c r="U1688" i="4"/>
  <c r="K1688" i="4"/>
  <c r="E1688" i="4"/>
  <c r="B1688" i="4"/>
  <c r="U1687" i="4"/>
  <c r="K1687" i="4"/>
  <c r="E1687" i="4"/>
  <c r="B1687" i="4"/>
  <c r="U1686" i="4"/>
  <c r="K1686" i="4"/>
  <c r="E1686" i="4"/>
  <c r="B1686" i="4"/>
  <c r="U1685" i="4"/>
  <c r="K1685" i="4"/>
  <c r="E1685" i="4"/>
  <c r="B1685" i="4"/>
  <c r="U1684" i="4"/>
  <c r="K1684" i="4"/>
  <c r="E1684" i="4"/>
  <c r="B1684" i="4"/>
  <c r="U1683" i="4"/>
  <c r="K1683" i="4"/>
  <c r="E1683" i="4"/>
  <c r="B1683" i="4"/>
  <c r="U1682" i="4"/>
  <c r="K1682" i="4"/>
  <c r="E1682" i="4"/>
  <c r="B1682" i="4"/>
  <c r="U1681" i="4"/>
  <c r="K1681" i="4"/>
  <c r="E1681" i="4"/>
  <c r="B1681" i="4"/>
  <c r="U1680" i="4"/>
  <c r="K1680" i="4"/>
  <c r="E1680" i="4"/>
  <c r="B1680" i="4"/>
  <c r="U1679" i="4"/>
  <c r="K1679" i="4"/>
  <c r="E1679" i="4"/>
  <c r="B1679" i="4"/>
  <c r="U1678" i="4"/>
  <c r="K1678" i="4"/>
  <c r="E1678" i="4"/>
  <c r="B1678" i="4"/>
  <c r="U1677" i="4"/>
  <c r="K1677" i="4"/>
  <c r="E1677" i="4"/>
  <c r="B1677" i="4"/>
  <c r="U1676" i="4"/>
  <c r="K1676" i="4"/>
  <c r="E1676" i="4"/>
  <c r="B1676" i="4"/>
  <c r="U1675" i="4"/>
  <c r="K1675" i="4"/>
  <c r="E1675" i="4"/>
  <c r="B1675" i="4"/>
  <c r="U1674" i="4"/>
  <c r="K1674" i="4"/>
  <c r="E1674" i="4"/>
  <c r="B1674" i="4"/>
  <c r="U1673" i="4"/>
  <c r="K1673" i="4"/>
  <c r="E1673" i="4"/>
  <c r="B1673" i="4"/>
  <c r="U1672" i="4"/>
  <c r="K1672" i="4"/>
  <c r="E1672" i="4"/>
  <c r="B1672" i="4"/>
  <c r="U1671" i="4"/>
  <c r="K1671" i="4"/>
  <c r="E1671" i="4"/>
  <c r="B1671" i="4"/>
  <c r="U1670" i="4"/>
  <c r="K1670" i="4"/>
  <c r="E1670" i="4"/>
  <c r="B1670" i="4"/>
  <c r="U1669" i="4"/>
  <c r="K1669" i="4"/>
  <c r="E1669" i="4"/>
  <c r="B1669" i="4"/>
  <c r="U1668" i="4"/>
  <c r="K1668" i="4"/>
  <c r="E1668" i="4"/>
  <c r="B1668" i="4"/>
  <c r="U1667" i="4"/>
  <c r="K1667" i="4"/>
  <c r="E1667" i="4"/>
  <c r="B1667" i="4"/>
  <c r="U1666" i="4"/>
  <c r="K1666" i="4"/>
  <c r="E1666" i="4"/>
  <c r="B1666" i="4"/>
  <c r="U1665" i="4"/>
  <c r="K1665" i="4"/>
  <c r="E1665" i="4"/>
  <c r="B1665" i="4"/>
  <c r="U1664" i="4"/>
  <c r="K1664" i="4"/>
  <c r="E1664" i="4"/>
  <c r="B1664" i="4"/>
  <c r="U1663" i="4"/>
  <c r="K1663" i="4"/>
  <c r="E1663" i="4"/>
  <c r="B1663" i="4"/>
  <c r="U1662" i="4"/>
  <c r="K1662" i="4"/>
  <c r="E1662" i="4"/>
  <c r="B1662" i="4"/>
  <c r="U1661" i="4"/>
  <c r="K1661" i="4"/>
  <c r="E1661" i="4"/>
  <c r="B1661" i="4"/>
  <c r="U1660" i="4"/>
  <c r="K1660" i="4"/>
  <c r="E1660" i="4"/>
  <c r="B1660" i="4"/>
  <c r="U1659" i="4"/>
  <c r="K1659" i="4"/>
  <c r="E1659" i="4"/>
  <c r="B1659" i="4"/>
  <c r="U1658" i="4"/>
  <c r="K1658" i="4"/>
  <c r="E1658" i="4"/>
  <c r="B1658" i="4"/>
  <c r="U1657" i="4"/>
  <c r="K1657" i="4"/>
  <c r="E1657" i="4"/>
  <c r="B1657" i="4"/>
  <c r="U1656" i="4"/>
  <c r="K1656" i="4"/>
  <c r="E1656" i="4"/>
  <c r="B1656" i="4"/>
  <c r="U1655" i="4"/>
  <c r="K1655" i="4"/>
  <c r="E1655" i="4"/>
  <c r="B1655" i="4"/>
  <c r="U1654" i="4"/>
  <c r="K1654" i="4"/>
  <c r="E1654" i="4"/>
  <c r="B1654" i="4"/>
  <c r="U1653" i="4"/>
  <c r="K1653" i="4"/>
  <c r="E1653" i="4"/>
  <c r="B1653" i="4"/>
  <c r="U1652" i="4"/>
  <c r="K1652" i="4"/>
  <c r="E1652" i="4"/>
  <c r="B1652" i="4"/>
  <c r="U1651" i="4"/>
  <c r="K1651" i="4"/>
  <c r="E1651" i="4"/>
  <c r="B1651" i="4"/>
  <c r="U1650" i="4"/>
  <c r="K1650" i="4"/>
  <c r="E1650" i="4"/>
  <c r="B1650" i="4"/>
  <c r="U1649" i="4"/>
  <c r="K1649" i="4"/>
  <c r="E1649" i="4"/>
  <c r="B1649" i="4"/>
  <c r="U1648" i="4"/>
  <c r="K1648" i="4"/>
  <c r="E1648" i="4"/>
  <c r="B1648" i="4"/>
  <c r="U1647" i="4"/>
  <c r="K1647" i="4"/>
  <c r="E1647" i="4"/>
  <c r="B1647" i="4"/>
  <c r="U1646" i="4"/>
  <c r="K1646" i="4"/>
  <c r="E1646" i="4"/>
  <c r="B1646" i="4"/>
  <c r="U1645" i="4"/>
  <c r="K1645" i="4"/>
  <c r="E1645" i="4"/>
  <c r="B1645" i="4"/>
  <c r="U1644" i="4"/>
  <c r="K1644" i="4"/>
  <c r="E1644" i="4"/>
  <c r="B1644" i="4"/>
  <c r="U1643" i="4"/>
  <c r="K1643" i="4"/>
  <c r="E1643" i="4"/>
  <c r="B1643" i="4"/>
  <c r="K1642" i="4"/>
  <c r="E1642" i="4"/>
  <c r="B1642" i="4"/>
  <c r="U1641" i="4"/>
  <c r="K1641" i="4"/>
  <c r="E1641" i="4"/>
  <c r="B1641" i="4"/>
  <c r="U1640" i="4"/>
  <c r="K1640" i="4"/>
  <c r="E1640" i="4"/>
  <c r="B1640" i="4"/>
  <c r="U1639" i="4"/>
  <c r="K1639" i="4"/>
  <c r="E1639" i="4"/>
  <c r="B1639" i="4"/>
  <c r="U1638" i="4"/>
  <c r="K1638" i="4"/>
  <c r="E1638" i="4"/>
  <c r="B1638" i="4"/>
  <c r="U1637" i="4"/>
  <c r="K1637" i="4"/>
  <c r="E1637" i="4"/>
  <c r="B1637" i="4"/>
  <c r="U1636" i="4"/>
  <c r="K1636" i="4"/>
  <c r="E1636" i="4"/>
  <c r="B1636" i="4"/>
  <c r="U1635" i="4"/>
  <c r="K1635" i="4"/>
  <c r="E1635" i="4"/>
  <c r="B1635" i="4"/>
  <c r="U1634" i="4"/>
  <c r="K1634" i="4"/>
  <c r="E1634" i="4"/>
  <c r="B1634" i="4"/>
  <c r="U1633" i="4"/>
  <c r="K1633" i="4"/>
  <c r="E1633" i="4"/>
  <c r="B1633" i="4"/>
  <c r="U1632" i="4"/>
  <c r="K1632" i="4"/>
  <c r="E1632" i="4"/>
  <c r="B1632" i="4"/>
  <c r="U1631" i="4"/>
  <c r="K1631" i="4"/>
  <c r="E1631" i="4"/>
  <c r="B1631" i="4"/>
  <c r="U1630" i="4"/>
  <c r="K1630" i="4"/>
  <c r="E1630" i="4"/>
  <c r="B1630" i="4"/>
  <c r="U1629" i="4"/>
  <c r="K1629" i="4"/>
  <c r="E1629" i="4"/>
  <c r="B1629" i="4"/>
  <c r="U1628" i="4"/>
  <c r="K1628" i="4"/>
  <c r="E1628" i="4"/>
  <c r="B1628" i="4"/>
  <c r="U1627" i="4"/>
  <c r="K1627" i="4"/>
  <c r="E1627" i="4"/>
  <c r="B1627" i="4"/>
  <c r="U1626" i="4"/>
  <c r="K1626" i="4"/>
  <c r="E1626" i="4"/>
  <c r="B1626" i="4"/>
  <c r="U1625" i="4"/>
  <c r="K1625" i="4"/>
  <c r="E1625" i="4"/>
  <c r="B1625" i="4"/>
  <c r="U1624" i="4"/>
  <c r="K1624" i="4"/>
  <c r="E1624" i="4"/>
  <c r="B1624" i="4"/>
  <c r="U1623" i="4"/>
  <c r="K1623" i="4"/>
  <c r="E1623" i="4"/>
  <c r="B1623" i="4"/>
  <c r="U1622" i="4"/>
  <c r="K1622" i="4"/>
  <c r="E1622" i="4"/>
  <c r="B1622" i="4"/>
  <c r="U1621" i="4"/>
  <c r="K1621" i="4"/>
  <c r="E1621" i="4"/>
  <c r="B1621" i="4"/>
  <c r="U1620" i="4"/>
  <c r="K1620" i="4"/>
  <c r="E1620" i="4"/>
  <c r="B1620" i="4"/>
  <c r="U1619" i="4"/>
  <c r="K1619" i="4"/>
  <c r="E1619" i="4"/>
  <c r="B1619" i="4"/>
  <c r="U1618" i="4"/>
  <c r="K1618" i="4"/>
  <c r="E1618" i="4"/>
  <c r="B1618" i="4"/>
  <c r="U1617" i="4"/>
  <c r="K1617" i="4"/>
  <c r="E1617" i="4"/>
  <c r="B1617" i="4"/>
  <c r="U1616" i="4"/>
  <c r="K1616" i="4"/>
  <c r="E1616" i="4"/>
  <c r="B1616" i="4"/>
  <c r="U1615" i="4"/>
  <c r="K1615" i="4"/>
  <c r="E1615" i="4"/>
  <c r="B1615" i="4"/>
  <c r="U1614" i="4"/>
  <c r="K1614" i="4"/>
  <c r="E1614" i="4"/>
  <c r="B1614" i="4"/>
  <c r="U1613" i="4"/>
  <c r="K1613" i="4"/>
  <c r="E1613" i="4"/>
  <c r="B1613" i="4"/>
  <c r="U1612" i="4"/>
  <c r="K1612" i="4"/>
  <c r="E1612" i="4"/>
  <c r="B1612" i="4"/>
  <c r="U1611" i="4"/>
  <c r="K1611" i="4"/>
  <c r="E1611" i="4"/>
  <c r="B1611" i="4"/>
  <c r="U1610" i="4"/>
  <c r="K1610" i="4"/>
  <c r="E1610" i="4"/>
  <c r="B1610" i="4"/>
  <c r="U1609" i="4"/>
  <c r="K1609" i="4"/>
  <c r="E1609" i="4"/>
  <c r="B1609" i="4"/>
  <c r="U1608" i="4"/>
  <c r="K1608" i="4"/>
  <c r="E1608" i="4"/>
  <c r="B1608" i="4"/>
  <c r="U1607" i="4"/>
  <c r="K1607" i="4"/>
  <c r="E1607" i="4"/>
  <c r="B1607" i="4"/>
  <c r="U1606" i="4"/>
  <c r="K1606" i="4"/>
  <c r="E1606" i="4"/>
  <c r="B1606" i="4"/>
  <c r="U1605" i="4"/>
  <c r="K1605" i="4"/>
  <c r="E1605" i="4"/>
  <c r="B1605" i="4"/>
  <c r="U1604" i="4"/>
  <c r="K1604" i="4"/>
  <c r="E1604" i="4"/>
  <c r="B1604" i="4"/>
  <c r="U1603" i="4"/>
  <c r="K1603" i="4"/>
  <c r="E1603" i="4"/>
  <c r="B1603" i="4"/>
  <c r="U1602" i="4"/>
  <c r="K1602" i="4"/>
  <c r="E1602" i="4"/>
  <c r="B1602" i="4"/>
  <c r="U1601" i="4"/>
  <c r="K1601" i="4"/>
  <c r="E1601" i="4"/>
  <c r="B1601" i="4"/>
  <c r="U1600" i="4"/>
  <c r="K1600" i="4"/>
  <c r="E1600" i="4"/>
  <c r="B1600" i="4"/>
  <c r="U1599" i="4"/>
  <c r="K1599" i="4"/>
  <c r="E1599" i="4"/>
  <c r="B1599" i="4"/>
  <c r="U1598" i="4"/>
  <c r="K1598" i="4"/>
  <c r="E1598" i="4"/>
  <c r="B1598" i="4"/>
  <c r="U1597" i="4"/>
  <c r="K1597" i="4"/>
  <c r="E1597" i="4"/>
  <c r="B1597" i="4"/>
  <c r="U1596" i="4"/>
  <c r="K1596" i="4"/>
  <c r="E1596" i="4"/>
  <c r="B1596" i="4"/>
  <c r="U1595" i="4"/>
  <c r="K1595" i="4"/>
  <c r="E1595" i="4"/>
  <c r="B1595" i="4"/>
  <c r="U1594" i="4"/>
  <c r="K1594" i="4"/>
  <c r="E1594" i="4"/>
  <c r="B1594" i="4"/>
  <c r="U1593" i="4"/>
  <c r="K1593" i="4"/>
  <c r="E1593" i="4"/>
  <c r="B1593" i="4"/>
  <c r="U1592" i="4"/>
  <c r="K1592" i="4"/>
  <c r="E1592" i="4"/>
  <c r="B1592" i="4"/>
  <c r="U1591" i="4"/>
  <c r="K1591" i="4"/>
  <c r="E1591" i="4"/>
  <c r="B1591" i="4"/>
  <c r="U1590" i="4"/>
  <c r="K1590" i="4"/>
  <c r="E1590" i="4"/>
  <c r="B1590" i="4"/>
  <c r="U1589" i="4"/>
  <c r="K1589" i="4"/>
  <c r="E1589" i="4"/>
  <c r="B1589" i="4"/>
  <c r="U1588" i="4"/>
  <c r="K1588" i="4"/>
  <c r="E1588" i="4"/>
  <c r="B1588" i="4"/>
  <c r="U1587" i="4"/>
  <c r="K1587" i="4"/>
  <c r="E1587" i="4"/>
  <c r="B1587" i="4"/>
  <c r="U1586" i="4"/>
  <c r="K1586" i="4"/>
  <c r="E1586" i="4"/>
  <c r="B1586" i="4"/>
  <c r="U1585" i="4"/>
  <c r="K1585" i="4"/>
  <c r="E1585" i="4"/>
  <c r="B1585" i="4"/>
  <c r="U1584" i="4"/>
  <c r="K1584" i="4"/>
  <c r="E1584" i="4"/>
  <c r="B1584" i="4"/>
  <c r="U1583" i="4"/>
  <c r="K1583" i="4"/>
  <c r="E1583" i="4"/>
  <c r="B1583" i="4"/>
  <c r="U1582" i="4"/>
  <c r="K1582" i="4"/>
  <c r="E1582" i="4"/>
  <c r="B1582" i="4"/>
  <c r="U1581" i="4"/>
  <c r="K1581" i="4"/>
  <c r="E1581" i="4"/>
  <c r="B1581" i="4"/>
  <c r="U1580" i="4"/>
  <c r="K1580" i="4"/>
  <c r="E1580" i="4"/>
  <c r="B1580" i="4"/>
  <c r="U1579" i="4"/>
  <c r="K1579" i="4"/>
  <c r="E1579" i="4"/>
  <c r="B1579" i="4"/>
  <c r="U1578" i="4"/>
  <c r="K1578" i="4"/>
  <c r="E1578" i="4"/>
  <c r="B1578" i="4"/>
  <c r="U1577" i="4"/>
  <c r="K1577" i="4"/>
  <c r="E1577" i="4"/>
  <c r="B1577" i="4"/>
  <c r="U1576" i="4"/>
  <c r="K1576" i="4"/>
  <c r="E1576" i="4"/>
  <c r="B1576" i="4"/>
  <c r="U1575" i="4"/>
  <c r="K1575" i="4"/>
  <c r="E1575" i="4"/>
  <c r="B1575" i="4"/>
  <c r="U1574" i="4"/>
  <c r="K1574" i="4"/>
  <c r="E1574" i="4"/>
  <c r="B1574" i="4"/>
  <c r="U1573" i="4"/>
  <c r="K1573" i="4"/>
  <c r="E1573" i="4"/>
  <c r="B1573" i="4"/>
  <c r="U1572" i="4"/>
  <c r="K1572" i="4"/>
  <c r="E1572" i="4"/>
  <c r="B1572" i="4"/>
  <c r="U1571" i="4"/>
  <c r="K1571" i="4"/>
  <c r="E1571" i="4"/>
  <c r="B1571" i="4"/>
  <c r="U1570" i="4"/>
  <c r="K1570" i="4"/>
  <c r="E1570" i="4"/>
  <c r="B1570" i="4"/>
  <c r="U1569" i="4"/>
  <c r="K1569" i="4"/>
  <c r="E1569" i="4"/>
  <c r="B1569" i="4"/>
  <c r="U1568" i="4"/>
  <c r="K1568" i="4"/>
  <c r="E1568" i="4"/>
  <c r="B1568" i="4"/>
  <c r="U1567" i="4"/>
  <c r="K1567" i="4"/>
  <c r="E1567" i="4"/>
  <c r="B1567" i="4"/>
  <c r="U1566" i="4"/>
  <c r="K1566" i="4"/>
  <c r="E1566" i="4"/>
  <c r="B1566" i="4"/>
  <c r="U1565" i="4"/>
  <c r="K1565" i="4"/>
  <c r="E1565" i="4"/>
  <c r="B1565" i="4"/>
  <c r="U1564" i="4"/>
  <c r="K1564" i="4"/>
  <c r="E1564" i="4"/>
  <c r="B1564" i="4"/>
  <c r="U1563" i="4"/>
  <c r="K1563" i="4"/>
  <c r="E1563" i="4"/>
  <c r="B1563" i="4"/>
  <c r="U1562" i="4"/>
  <c r="K1562" i="4"/>
  <c r="E1562" i="4"/>
  <c r="B1562" i="4"/>
  <c r="U1561" i="4"/>
  <c r="K1561" i="4"/>
  <c r="E1561" i="4"/>
  <c r="B1561" i="4"/>
  <c r="U1560" i="4"/>
  <c r="K1560" i="4"/>
  <c r="E1560" i="4"/>
  <c r="B1560" i="4"/>
  <c r="U1559" i="4"/>
  <c r="K1559" i="4"/>
  <c r="E1559" i="4"/>
  <c r="B1559" i="4"/>
  <c r="U1558" i="4"/>
  <c r="K1558" i="4"/>
  <c r="E1558" i="4"/>
  <c r="B1558" i="4"/>
  <c r="U1557" i="4"/>
  <c r="K1557" i="4"/>
  <c r="E1557" i="4"/>
  <c r="B1557" i="4"/>
  <c r="U1556" i="4"/>
  <c r="K1556" i="4"/>
  <c r="E1556" i="4"/>
  <c r="B1556" i="4"/>
  <c r="U1555" i="4"/>
  <c r="K1555" i="4"/>
  <c r="E1555" i="4"/>
  <c r="B1555" i="4"/>
  <c r="U1554" i="4"/>
  <c r="K1554" i="4"/>
  <c r="E1554" i="4"/>
  <c r="B1554" i="4"/>
  <c r="U1553" i="4"/>
  <c r="K1553" i="4"/>
  <c r="E1553" i="4"/>
  <c r="B1553" i="4"/>
  <c r="U1552" i="4"/>
  <c r="K1552" i="4"/>
  <c r="E1552" i="4"/>
  <c r="B1552" i="4"/>
  <c r="U1551" i="4"/>
  <c r="K1551" i="4"/>
  <c r="E1551" i="4"/>
  <c r="B1551" i="4"/>
  <c r="U1550" i="4"/>
  <c r="K1550" i="4"/>
  <c r="E1550" i="4"/>
  <c r="B1550" i="4"/>
  <c r="U1549" i="4"/>
  <c r="K1549" i="4"/>
  <c r="E1549" i="4"/>
  <c r="B1549" i="4"/>
  <c r="U1548" i="4"/>
  <c r="K1548" i="4"/>
  <c r="E1548" i="4"/>
  <c r="B1548" i="4"/>
  <c r="U1547" i="4"/>
  <c r="K1547" i="4"/>
  <c r="E1547" i="4"/>
  <c r="B1547" i="4"/>
  <c r="U1546" i="4"/>
  <c r="K1546" i="4"/>
  <c r="E1546" i="4"/>
  <c r="B1546" i="4"/>
  <c r="U1545" i="4"/>
  <c r="K1545" i="4"/>
  <c r="E1545" i="4"/>
  <c r="B1545" i="4"/>
  <c r="U1544" i="4"/>
  <c r="K1544" i="4"/>
  <c r="E1544" i="4"/>
  <c r="B1544" i="4"/>
  <c r="U1543" i="4"/>
  <c r="K1543" i="4"/>
  <c r="E1543" i="4"/>
  <c r="B1543" i="4"/>
  <c r="U1542" i="4"/>
  <c r="K1542" i="4"/>
  <c r="E1542" i="4"/>
  <c r="B1542" i="4"/>
  <c r="U1541" i="4"/>
  <c r="K1541" i="4"/>
  <c r="E1541" i="4"/>
  <c r="B1541" i="4"/>
  <c r="U1540" i="4"/>
  <c r="K1540" i="4"/>
  <c r="E1540" i="4"/>
  <c r="B1540" i="4"/>
  <c r="U1539" i="4"/>
  <c r="K1539" i="4"/>
  <c r="E1539" i="4"/>
  <c r="B1539" i="4"/>
  <c r="U1538" i="4"/>
  <c r="K1538" i="4"/>
  <c r="E1538" i="4"/>
  <c r="B1538" i="4"/>
  <c r="U1537" i="4"/>
  <c r="K1537" i="4"/>
  <c r="E1537" i="4"/>
  <c r="B1537" i="4"/>
  <c r="U1536" i="4"/>
  <c r="K1536" i="4"/>
  <c r="E1536" i="4"/>
  <c r="B1536" i="4"/>
  <c r="U1535" i="4"/>
  <c r="K1535" i="4"/>
  <c r="E1535" i="4"/>
  <c r="B1535" i="4"/>
  <c r="U1534" i="4"/>
  <c r="K1534" i="4"/>
  <c r="E1534" i="4"/>
  <c r="B1534" i="4"/>
  <c r="U1533" i="4"/>
  <c r="K1533" i="4"/>
  <c r="E1533" i="4"/>
  <c r="B1533" i="4"/>
  <c r="U1532" i="4"/>
  <c r="K1532" i="4"/>
  <c r="E1532" i="4"/>
  <c r="B1532" i="4"/>
  <c r="U1531" i="4"/>
  <c r="K1531" i="4"/>
  <c r="E1531" i="4"/>
  <c r="B1531" i="4"/>
  <c r="U1530" i="4"/>
  <c r="K1530" i="4"/>
  <c r="E1530" i="4"/>
  <c r="B1530" i="4"/>
  <c r="U1529" i="4"/>
  <c r="K1529" i="4"/>
  <c r="E1529" i="4"/>
  <c r="B1529" i="4"/>
  <c r="U1528" i="4"/>
  <c r="K1528" i="4"/>
  <c r="E1528" i="4"/>
  <c r="B1528" i="4"/>
  <c r="U1527" i="4"/>
  <c r="K1527" i="4"/>
  <c r="E1527" i="4"/>
  <c r="B1527" i="4"/>
  <c r="U1526" i="4"/>
  <c r="K1526" i="4"/>
  <c r="E1526" i="4"/>
  <c r="B1526" i="4"/>
  <c r="U1525" i="4"/>
  <c r="K1525" i="4"/>
  <c r="E1525" i="4"/>
  <c r="B1525" i="4"/>
  <c r="U1524" i="4"/>
  <c r="K1524" i="4"/>
  <c r="E1524" i="4"/>
  <c r="B1524" i="4"/>
  <c r="U1523" i="4"/>
  <c r="K1523" i="4"/>
  <c r="E1523" i="4"/>
  <c r="B1523" i="4"/>
  <c r="U1522" i="4"/>
  <c r="K1522" i="4"/>
  <c r="E1522" i="4"/>
  <c r="B1522" i="4"/>
  <c r="U1521" i="4"/>
  <c r="K1521" i="4"/>
  <c r="E1521" i="4"/>
  <c r="B1521" i="4"/>
  <c r="K1520" i="4"/>
  <c r="E1520" i="4"/>
  <c r="B1520" i="4"/>
  <c r="U1519" i="4"/>
  <c r="K1519" i="4"/>
  <c r="E1519" i="4"/>
  <c r="B1519" i="4"/>
  <c r="U1518" i="4"/>
  <c r="K1518" i="4"/>
  <c r="E1518" i="4"/>
  <c r="B1518" i="4"/>
  <c r="U1517" i="4"/>
  <c r="K1517" i="4"/>
  <c r="E1517" i="4"/>
  <c r="B1517" i="4"/>
  <c r="U1516" i="4"/>
  <c r="K1516" i="4"/>
  <c r="E1516" i="4"/>
  <c r="B1516" i="4"/>
  <c r="U1515" i="4"/>
  <c r="K1515" i="4"/>
  <c r="E1515" i="4"/>
  <c r="B1515" i="4"/>
  <c r="U1514" i="4"/>
  <c r="K1514" i="4"/>
  <c r="E1514" i="4"/>
  <c r="B1514" i="4"/>
  <c r="U1513" i="4"/>
  <c r="K1513" i="4"/>
  <c r="E1513" i="4"/>
  <c r="B1513" i="4"/>
  <c r="U1512" i="4"/>
  <c r="K1512" i="4"/>
  <c r="E1512" i="4"/>
  <c r="B1512" i="4"/>
  <c r="U1511" i="4"/>
  <c r="K1511" i="4"/>
  <c r="E1511" i="4"/>
  <c r="B1511" i="4"/>
  <c r="U1510" i="4"/>
  <c r="K1510" i="4"/>
  <c r="E1510" i="4"/>
  <c r="B1510" i="4"/>
  <c r="U1509" i="4"/>
  <c r="K1509" i="4"/>
  <c r="E1509" i="4"/>
  <c r="B1509" i="4"/>
  <c r="U1508" i="4"/>
  <c r="K1508" i="4"/>
  <c r="E1508" i="4"/>
  <c r="B1508" i="4"/>
  <c r="U1507" i="4"/>
  <c r="K1507" i="4"/>
  <c r="E1507" i="4"/>
  <c r="B1507" i="4"/>
  <c r="U1506" i="4"/>
  <c r="K1506" i="4"/>
  <c r="E1506" i="4"/>
  <c r="B1506" i="4"/>
  <c r="U1505" i="4"/>
  <c r="K1505" i="4"/>
  <c r="E1505" i="4"/>
  <c r="B1505" i="4"/>
  <c r="U1504" i="4"/>
  <c r="K1504" i="4"/>
  <c r="E1504" i="4"/>
  <c r="B1504" i="4"/>
  <c r="U1503" i="4"/>
  <c r="K1503" i="4"/>
  <c r="E1503" i="4"/>
  <c r="B1503" i="4"/>
  <c r="U1502" i="4"/>
  <c r="K1502" i="4"/>
  <c r="E1502" i="4"/>
  <c r="B1502" i="4"/>
  <c r="U1501" i="4"/>
  <c r="K1501" i="4"/>
  <c r="E1501" i="4"/>
  <c r="B1501" i="4"/>
  <c r="U1500" i="4"/>
  <c r="K1500" i="4"/>
  <c r="E1500" i="4"/>
  <c r="B1500" i="4"/>
  <c r="U1499" i="4"/>
  <c r="K1499" i="4"/>
  <c r="E1499" i="4"/>
  <c r="B1499" i="4"/>
  <c r="U1498" i="4"/>
  <c r="K1498" i="4"/>
  <c r="E1498" i="4"/>
  <c r="B1498" i="4"/>
  <c r="U1497" i="4"/>
  <c r="K1497" i="4"/>
  <c r="E1497" i="4"/>
  <c r="B1497" i="4"/>
  <c r="U1496" i="4"/>
  <c r="K1496" i="4"/>
  <c r="E1496" i="4"/>
  <c r="B1496" i="4"/>
  <c r="U1495" i="4"/>
  <c r="K1495" i="4"/>
  <c r="E1495" i="4"/>
  <c r="B1495" i="4"/>
  <c r="U1494" i="4"/>
  <c r="K1494" i="4"/>
  <c r="E1494" i="4"/>
  <c r="B1494" i="4"/>
  <c r="U1493" i="4"/>
  <c r="K1493" i="4"/>
  <c r="E1493" i="4"/>
  <c r="B1493" i="4"/>
  <c r="U1492" i="4"/>
  <c r="K1492" i="4"/>
  <c r="E1492" i="4"/>
  <c r="B1492" i="4"/>
  <c r="U1491" i="4"/>
  <c r="K1491" i="4"/>
  <c r="E1491" i="4"/>
  <c r="B1491" i="4"/>
  <c r="U1490" i="4"/>
  <c r="K1490" i="4"/>
  <c r="E1490" i="4"/>
  <c r="B1490" i="4"/>
  <c r="U1489" i="4"/>
  <c r="K1489" i="4"/>
  <c r="E1489" i="4"/>
  <c r="B1489" i="4"/>
  <c r="U1488" i="4"/>
  <c r="K1488" i="4"/>
  <c r="E1488" i="4"/>
  <c r="B1488" i="4"/>
  <c r="U1487" i="4"/>
  <c r="K1487" i="4"/>
  <c r="E1487" i="4"/>
  <c r="B1487" i="4"/>
  <c r="U1486" i="4"/>
  <c r="K1486" i="4"/>
  <c r="E1486" i="4"/>
  <c r="B1486" i="4"/>
  <c r="U1485" i="4"/>
  <c r="K1485" i="4"/>
  <c r="E1485" i="4"/>
  <c r="B1485" i="4"/>
  <c r="U1484" i="4"/>
  <c r="K1484" i="4"/>
  <c r="E1484" i="4"/>
  <c r="B1484" i="4"/>
  <c r="U1483" i="4"/>
  <c r="K1483" i="4"/>
  <c r="E1483" i="4"/>
  <c r="B1483" i="4"/>
  <c r="U1482" i="4"/>
  <c r="K1482" i="4"/>
  <c r="E1482" i="4"/>
  <c r="B1482" i="4"/>
  <c r="U1481" i="4"/>
  <c r="K1481" i="4"/>
  <c r="E1481" i="4"/>
  <c r="B1481" i="4"/>
  <c r="U1480" i="4"/>
  <c r="K1480" i="4"/>
  <c r="E1480" i="4"/>
  <c r="B1480" i="4"/>
  <c r="U1479" i="4"/>
  <c r="K1479" i="4"/>
  <c r="E1479" i="4"/>
  <c r="B1479" i="4"/>
  <c r="U1478" i="4"/>
  <c r="K1478" i="4"/>
  <c r="E1478" i="4"/>
  <c r="B1478" i="4"/>
  <c r="U1477" i="4"/>
  <c r="K1477" i="4"/>
  <c r="E1477" i="4"/>
  <c r="B1477" i="4"/>
  <c r="U1476" i="4"/>
  <c r="K1476" i="4"/>
  <c r="E1476" i="4"/>
  <c r="B1476" i="4"/>
  <c r="U1475" i="4"/>
  <c r="K1475" i="4"/>
  <c r="E1475" i="4"/>
  <c r="B1475" i="4"/>
  <c r="U1474" i="4"/>
  <c r="K1474" i="4"/>
  <c r="E1474" i="4"/>
  <c r="B1474" i="4"/>
  <c r="U1473" i="4"/>
  <c r="K1473" i="4"/>
  <c r="E1473" i="4"/>
  <c r="B1473" i="4"/>
  <c r="U1472" i="4"/>
  <c r="K1472" i="4"/>
  <c r="E1472" i="4"/>
  <c r="B1472" i="4"/>
  <c r="U1471" i="4"/>
  <c r="K1471" i="4"/>
  <c r="E1471" i="4"/>
  <c r="B1471" i="4"/>
  <c r="U1470" i="4"/>
  <c r="K1470" i="4"/>
  <c r="E1470" i="4"/>
  <c r="B1470" i="4"/>
  <c r="U1469" i="4"/>
  <c r="K1469" i="4"/>
  <c r="E1469" i="4"/>
  <c r="B1469" i="4"/>
  <c r="U1468" i="4"/>
  <c r="K1468" i="4"/>
  <c r="E1468" i="4"/>
  <c r="B1468" i="4"/>
  <c r="U1467" i="4"/>
  <c r="K1467" i="4"/>
  <c r="E1467" i="4"/>
  <c r="B1467" i="4"/>
  <c r="U1466" i="4"/>
  <c r="K1466" i="4"/>
  <c r="E1466" i="4"/>
  <c r="B1466" i="4"/>
  <c r="U1465" i="4"/>
  <c r="K1465" i="4"/>
  <c r="E1465" i="4"/>
  <c r="B1465" i="4"/>
  <c r="U1464" i="4"/>
  <c r="K1464" i="4"/>
  <c r="E1464" i="4"/>
  <c r="B1464" i="4"/>
  <c r="U1463" i="4"/>
  <c r="K1463" i="4"/>
  <c r="E1463" i="4"/>
  <c r="B1463" i="4"/>
  <c r="U1462" i="4"/>
  <c r="K1462" i="4"/>
  <c r="E1462" i="4"/>
  <c r="B1462" i="4"/>
  <c r="U1461" i="4"/>
  <c r="K1461" i="4"/>
  <c r="E1461" i="4"/>
  <c r="B1461" i="4"/>
  <c r="U1460" i="4"/>
  <c r="K1460" i="4"/>
  <c r="E1460" i="4"/>
  <c r="B1460" i="4"/>
  <c r="U1459" i="4"/>
  <c r="K1459" i="4"/>
  <c r="E1459" i="4"/>
  <c r="B1459" i="4"/>
  <c r="U1458" i="4"/>
  <c r="K1458" i="4"/>
  <c r="E1458" i="4"/>
  <c r="B1458" i="4"/>
  <c r="U1457" i="4"/>
  <c r="K1457" i="4"/>
  <c r="E1457" i="4"/>
  <c r="B1457" i="4"/>
  <c r="U1456" i="4"/>
  <c r="K1456" i="4"/>
  <c r="E1456" i="4"/>
  <c r="B1456" i="4"/>
  <c r="U1455" i="4"/>
  <c r="K1455" i="4"/>
  <c r="E1455" i="4"/>
  <c r="B1455" i="4"/>
  <c r="U1454" i="4"/>
  <c r="K1454" i="4"/>
  <c r="E1454" i="4"/>
  <c r="B1454" i="4"/>
  <c r="U1453" i="4"/>
  <c r="K1453" i="4"/>
  <c r="E1453" i="4"/>
  <c r="B1453" i="4"/>
  <c r="U1452" i="4"/>
  <c r="K1452" i="4"/>
  <c r="E1452" i="4"/>
  <c r="B1452" i="4"/>
  <c r="U1451" i="4"/>
  <c r="K1451" i="4"/>
  <c r="E1451" i="4"/>
  <c r="B1451" i="4"/>
  <c r="U1450" i="4"/>
  <c r="K1450" i="4"/>
  <c r="E1450" i="4"/>
  <c r="B1450" i="4"/>
  <c r="U1449" i="4"/>
  <c r="K1449" i="4"/>
  <c r="E1449" i="4"/>
  <c r="B1449" i="4"/>
  <c r="U1448" i="4"/>
  <c r="K1448" i="4"/>
  <c r="E1448" i="4"/>
  <c r="B1448" i="4"/>
  <c r="U1447" i="4"/>
  <c r="K1447" i="4"/>
  <c r="E1447" i="4"/>
  <c r="B1447" i="4"/>
  <c r="U1446" i="4"/>
  <c r="K1446" i="4"/>
  <c r="E1446" i="4"/>
  <c r="B1446" i="4"/>
  <c r="U1445" i="4"/>
  <c r="K1445" i="4"/>
  <c r="E1445" i="4"/>
  <c r="B1445" i="4"/>
  <c r="U1444" i="4"/>
  <c r="K1444" i="4"/>
  <c r="E1444" i="4"/>
  <c r="B1444" i="4"/>
  <c r="U1443" i="4"/>
  <c r="K1443" i="4"/>
  <c r="E1443" i="4"/>
  <c r="B1443" i="4"/>
  <c r="U1442" i="4"/>
  <c r="K1442" i="4"/>
  <c r="E1442" i="4"/>
  <c r="B1442" i="4"/>
  <c r="U1441" i="4"/>
  <c r="K1441" i="4"/>
  <c r="E1441" i="4"/>
  <c r="B1441" i="4"/>
  <c r="U1440" i="4"/>
  <c r="K1440" i="4"/>
  <c r="E1440" i="4"/>
  <c r="B1440" i="4"/>
  <c r="U1439" i="4"/>
  <c r="K1439" i="4"/>
  <c r="E1439" i="4"/>
  <c r="B1439" i="4"/>
  <c r="U1438" i="4"/>
  <c r="K1438" i="4"/>
  <c r="E1438" i="4"/>
  <c r="B1438" i="4"/>
  <c r="U1437" i="4"/>
  <c r="K1437" i="4"/>
  <c r="E1437" i="4"/>
  <c r="B1437" i="4"/>
  <c r="U1436" i="4"/>
  <c r="K1436" i="4"/>
  <c r="E1436" i="4"/>
  <c r="B1436" i="4"/>
  <c r="U1435" i="4"/>
  <c r="K1435" i="4"/>
  <c r="E1435" i="4"/>
  <c r="B1435" i="4"/>
  <c r="U1434" i="4"/>
  <c r="K1434" i="4"/>
  <c r="E1434" i="4"/>
  <c r="B1434" i="4"/>
  <c r="U1433" i="4"/>
  <c r="K1433" i="4"/>
  <c r="E1433" i="4"/>
  <c r="B1433" i="4"/>
  <c r="U1432" i="4"/>
  <c r="K1432" i="4"/>
  <c r="E1432" i="4"/>
  <c r="B1432" i="4"/>
  <c r="U1431" i="4"/>
  <c r="K1431" i="4"/>
  <c r="E1431" i="4"/>
  <c r="B1431" i="4"/>
  <c r="U1430" i="4"/>
  <c r="K1430" i="4"/>
  <c r="E1430" i="4"/>
  <c r="B1430" i="4"/>
  <c r="U1429" i="4"/>
  <c r="K1429" i="4"/>
  <c r="E1429" i="4"/>
  <c r="B1429" i="4"/>
  <c r="U1428" i="4"/>
  <c r="K1428" i="4"/>
  <c r="E1428" i="4"/>
  <c r="B1428" i="4"/>
  <c r="U1427" i="4"/>
  <c r="K1427" i="4"/>
  <c r="E1427" i="4"/>
  <c r="B1427" i="4"/>
  <c r="U1426" i="4"/>
  <c r="K1426" i="4"/>
  <c r="E1426" i="4"/>
  <c r="B1426" i="4"/>
  <c r="U1425" i="4"/>
  <c r="K1425" i="4"/>
  <c r="E1425" i="4"/>
  <c r="B1425" i="4"/>
  <c r="U1424" i="4"/>
  <c r="K1424" i="4"/>
  <c r="E1424" i="4"/>
  <c r="B1424" i="4"/>
  <c r="U1423" i="4"/>
  <c r="K1423" i="4"/>
  <c r="E1423" i="4"/>
  <c r="B1423" i="4"/>
  <c r="U1422" i="4"/>
  <c r="K1422" i="4"/>
  <c r="E1422" i="4"/>
  <c r="B1422" i="4"/>
  <c r="U1421" i="4"/>
  <c r="K1421" i="4"/>
  <c r="E1421" i="4"/>
  <c r="B1421" i="4"/>
  <c r="U1420" i="4"/>
  <c r="K1420" i="4"/>
  <c r="E1420" i="4"/>
  <c r="B1420" i="4"/>
  <c r="U1419" i="4"/>
  <c r="K1419" i="4"/>
  <c r="E1419" i="4"/>
  <c r="B1419" i="4"/>
  <c r="U1418" i="4"/>
  <c r="K1418" i="4"/>
  <c r="E1418" i="4"/>
  <c r="B1418" i="4"/>
  <c r="U1417" i="4"/>
  <c r="K1417" i="4"/>
  <c r="E1417" i="4"/>
  <c r="B1417" i="4"/>
  <c r="U1416" i="4"/>
  <c r="K1416" i="4"/>
  <c r="E1416" i="4"/>
  <c r="B1416" i="4"/>
  <c r="U1415" i="4"/>
  <c r="K1415" i="4"/>
  <c r="E1415" i="4"/>
  <c r="B1415" i="4"/>
  <c r="K1414" i="4"/>
  <c r="E1414" i="4"/>
  <c r="B1414" i="4"/>
  <c r="U1413" i="4"/>
  <c r="K1413" i="4"/>
  <c r="E1413" i="4"/>
  <c r="B1413" i="4"/>
  <c r="U1412" i="4"/>
  <c r="K1412" i="4"/>
  <c r="E1412" i="4"/>
  <c r="B1412" i="4"/>
  <c r="U1411" i="4"/>
  <c r="K1411" i="4"/>
  <c r="E1411" i="4"/>
  <c r="B1411" i="4"/>
  <c r="U1410" i="4"/>
  <c r="K1410" i="4"/>
  <c r="E1410" i="4"/>
  <c r="B1410" i="4"/>
  <c r="U1409" i="4"/>
  <c r="K1409" i="4"/>
  <c r="E1409" i="4"/>
  <c r="B1409" i="4"/>
  <c r="U1408" i="4"/>
  <c r="K1408" i="4"/>
  <c r="E1408" i="4"/>
  <c r="B1408" i="4"/>
  <c r="U1407" i="4"/>
  <c r="K1407" i="4"/>
  <c r="E1407" i="4"/>
  <c r="B1407" i="4"/>
  <c r="U1406" i="4"/>
  <c r="K1406" i="4"/>
  <c r="E1406" i="4"/>
  <c r="B1406" i="4"/>
  <c r="U1405" i="4"/>
  <c r="K1405" i="4"/>
  <c r="E1405" i="4"/>
  <c r="B1405" i="4"/>
  <c r="U1404" i="4"/>
  <c r="K1404" i="4"/>
  <c r="E1404" i="4"/>
  <c r="B1404" i="4"/>
  <c r="U1403" i="4"/>
  <c r="K1403" i="4"/>
  <c r="E1403" i="4"/>
  <c r="B1403" i="4"/>
  <c r="U1402" i="4"/>
  <c r="K1402" i="4"/>
  <c r="E1402" i="4"/>
  <c r="B1402" i="4"/>
  <c r="U1401" i="4"/>
  <c r="K1401" i="4"/>
  <c r="E1401" i="4"/>
  <c r="B1401" i="4"/>
  <c r="U1400" i="4"/>
  <c r="K1400" i="4"/>
  <c r="E1400" i="4"/>
  <c r="B1400" i="4"/>
  <c r="U1399" i="4"/>
  <c r="K1399" i="4"/>
  <c r="E1399" i="4"/>
  <c r="B1399" i="4"/>
  <c r="U1398" i="4"/>
  <c r="K1398" i="4"/>
  <c r="E1398" i="4"/>
  <c r="B1398" i="4"/>
  <c r="U1397" i="4"/>
  <c r="K1397" i="4"/>
  <c r="E1397" i="4"/>
  <c r="B1397" i="4"/>
  <c r="U1396" i="4"/>
  <c r="K1396" i="4"/>
  <c r="E1396" i="4"/>
  <c r="B1396" i="4"/>
  <c r="U1395" i="4"/>
  <c r="K1395" i="4"/>
  <c r="E1395" i="4"/>
  <c r="B1395" i="4"/>
  <c r="U1394" i="4"/>
  <c r="K1394" i="4"/>
  <c r="E1394" i="4"/>
  <c r="B1394" i="4"/>
  <c r="U1393" i="4"/>
  <c r="K1393" i="4"/>
  <c r="E1393" i="4"/>
  <c r="B1393" i="4"/>
  <c r="U1392" i="4"/>
  <c r="K1392" i="4"/>
  <c r="E1392" i="4"/>
  <c r="B1392" i="4"/>
  <c r="U1391" i="4"/>
  <c r="K1391" i="4"/>
  <c r="E1391" i="4"/>
  <c r="B1391" i="4"/>
  <c r="U1390" i="4"/>
  <c r="K1390" i="4"/>
  <c r="E1390" i="4"/>
  <c r="B1390" i="4"/>
  <c r="U1389" i="4"/>
  <c r="K1389" i="4"/>
  <c r="E1389" i="4"/>
  <c r="B1389" i="4"/>
  <c r="U1388" i="4"/>
  <c r="K1388" i="4"/>
  <c r="E1388" i="4"/>
  <c r="B1388" i="4"/>
  <c r="U1387" i="4"/>
  <c r="K1387" i="4"/>
  <c r="E1387" i="4"/>
  <c r="B1387" i="4"/>
  <c r="U1386" i="4"/>
  <c r="K1386" i="4"/>
  <c r="E1386" i="4"/>
  <c r="B1386" i="4"/>
  <c r="U1385" i="4"/>
  <c r="K1385" i="4"/>
  <c r="E1385" i="4"/>
  <c r="B1385" i="4"/>
  <c r="U1384" i="4"/>
  <c r="K1384" i="4"/>
  <c r="E1384" i="4"/>
  <c r="B1384" i="4"/>
  <c r="U1383" i="4"/>
  <c r="K1383" i="4"/>
  <c r="E1383" i="4"/>
  <c r="B1383" i="4"/>
  <c r="U1382" i="4"/>
  <c r="K1382" i="4"/>
  <c r="E1382" i="4"/>
  <c r="B1382" i="4"/>
  <c r="U1381" i="4"/>
  <c r="K1381" i="4"/>
  <c r="E1381" i="4"/>
  <c r="B1381" i="4"/>
  <c r="U1380" i="4"/>
  <c r="K1380" i="4"/>
  <c r="E1380" i="4"/>
  <c r="B1380" i="4"/>
  <c r="U1379" i="4"/>
  <c r="K1379" i="4"/>
  <c r="E1379" i="4"/>
  <c r="B1379" i="4"/>
  <c r="U1378" i="4"/>
  <c r="K1378" i="4"/>
  <c r="E1378" i="4"/>
  <c r="B1378" i="4"/>
  <c r="U1377" i="4"/>
  <c r="K1377" i="4"/>
  <c r="E1377" i="4"/>
  <c r="B1377" i="4"/>
  <c r="U1376" i="4"/>
  <c r="K1376" i="4"/>
  <c r="E1376" i="4"/>
  <c r="B1376" i="4"/>
  <c r="U1375" i="4"/>
  <c r="K1375" i="4"/>
  <c r="E1375" i="4"/>
  <c r="B1375" i="4"/>
  <c r="U1374" i="4"/>
  <c r="K1374" i="4"/>
  <c r="E1374" i="4"/>
  <c r="B1374" i="4"/>
  <c r="U1373" i="4"/>
  <c r="K1373" i="4"/>
  <c r="E1373" i="4"/>
  <c r="B1373" i="4"/>
  <c r="U1372" i="4"/>
  <c r="K1372" i="4"/>
  <c r="E1372" i="4"/>
  <c r="B1372" i="4"/>
  <c r="K1371" i="4"/>
  <c r="E1371" i="4"/>
  <c r="B1371" i="4"/>
  <c r="U1370" i="4"/>
  <c r="K1370" i="4"/>
  <c r="E1370" i="4"/>
  <c r="B1370" i="4"/>
  <c r="U1369" i="4"/>
  <c r="K1369" i="4"/>
  <c r="E1369" i="4"/>
  <c r="B1369" i="4"/>
  <c r="U1368" i="4"/>
  <c r="K1368" i="4"/>
  <c r="E1368" i="4"/>
  <c r="B1368" i="4"/>
  <c r="U1367" i="4"/>
  <c r="K1367" i="4"/>
  <c r="E1367" i="4"/>
  <c r="B1367" i="4"/>
  <c r="U1366" i="4"/>
  <c r="K1366" i="4"/>
  <c r="E1366" i="4"/>
  <c r="B1366" i="4"/>
  <c r="U1365" i="4"/>
  <c r="K1365" i="4"/>
  <c r="E1365" i="4"/>
  <c r="B1365" i="4"/>
  <c r="U1364" i="4"/>
  <c r="K1364" i="4"/>
  <c r="E1364" i="4"/>
  <c r="B1364" i="4"/>
  <c r="U1363" i="4"/>
  <c r="K1363" i="4"/>
  <c r="E1363" i="4"/>
  <c r="B1363" i="4"/>
  <c r="U1362" i="4"/>
  <c r="K1362" i="4"/>
  <c r="E1362" i="4"/>
  <c r="B1362" i="4"/>
  <c r="U1361" i="4"/>
  <c r="K1361" i="4"/>
  <c r="E1361" i="4"/>
  <c r="B1361" i="4"/>
  <c r="U1360" i="4"/>
  <c r="K1360" i="4"/>
  <c r="E1360" i="4"/>
  <c r="B1360" i="4"/>
  <c r="U1359" i="4"/>
  <c r="K1359" i="4"/>
  <c r="E1359" i="4"/>
  <c r="B1359" i="4"/>
  <c r="U1358" i="4"/>
  <c r="K1358" i="4"/>
  <c r="E1358" i="4"/>
  <c r="B1358" i="4"/>
  <c r="U1357" i="4"/>
  <c r="K1357" i="4"/>
  <c r="E1357" i="4"/>
  <c r="B1357" i="4"/>
  <c r="U1356" i="4"/>
  <c r="K1356" i="4"/>
  <c r="E1356" i="4"/>
  <c r="B1356" i="4"/>
  <c r="U1355" i="4"/>
  <c r="K1355" i="4"/>
  <c r="E1355" i="4"/>
  <c r="B1355" i="4"/>
  <c r="U1354" i="4"/>
  <c r="K1354" i="4"/>
  <c r="E1354" i="4"/>
  <c r="B1354" i="4"/>
  <c r="U1353" i="4"/>
  <c r="K1353" i="4"/>
  <c r="E1353" i="4"/>
  <c r="B1353" i="4"/>
  <c r="U1352" i="4"/>
  <c r="K1352" i="4"/>
  <c r="E1352" i="4"/>
  <c r="B1352" i="4"/>
  <c r="U1351" i="4"/>
  <c r="K1351" i="4"/>
  <c r="E1351" i="4"/>
  <c r="B1351" i="4"/>
  <c r="U1350" i="4"/>
  <c r="K1350" i="4"/>
  <c r="E1350" i="4"/>
  <c r="B1350" i="4"/>
  <c r="U1349" i="4"/>
  <c r="K1349" i="4"/>
  <c r="E1349" i="4"/>
  <c r="B1349" i="4"/>
  <c r="U1348" i="4"/>
  <c r="K1348" i="4"/>
  <c r="E1348" i="4"/>
  <c r="B1348" i="4"/>
  <c r="U1347" i="4"/>
  <c r="K1347" i="4"/>
  <c r="E1347" i="4"/>
  <c r="B1347" i="4"/>
  <c r="U1346" i="4"/>
  <c r="K1346" i="4"/>
  <c r="E1346" i="4"/>
  <c r="B1346" i="4"/>
  <c r="U1345" i="4"/>
  <c r="K1345" i="4"/>
  <c r="E1345" i="4"/>
  <c r="B1345" i="4"/>
  <c r="U1344" i="4"/>
  <c r="K1344" i="4"/>
  <c r="E1344" i="4"/>
  <c r="B1344" i="4"/>
  <c r="U1343" i="4"/>
  <c r="K1343" i="4"/>
  <c r="E1343" i="4"/>
  <c r="B1343" i="4"/>
  <c r="U1342" i="4"/>
  <c r="K1342" i="4"/>
  <c r="E1342" i="4"/>
  <c r="B1342" i="4"/>
  <c r="U1341" i="4"/>
  <c r="K1341" i="4"/>
  <c r="E1341" i="4"/>
  <c r="B1341" i="4"/>
  <c r="U1340" i="4"/>
  <c r="K1340" i="4"/>
  <c r="E1340" i="4"/>
  <c r="B1340" i="4"/>
  <c r="U1339" i="4"/>
  <c r="K1339" i="4"/>
  <c r="E1339" i="4"/>
  <c r="B1339" i="4"/>
  <c r="U1338" i="4"/>
  <c r="K1338" i="4"/>
  <c r="E1338" i="4"/>
  <c r="B1338" i="4"/>
  <c r="U1337" i="4"/>
  <c r="K1337" i="4"/>
  <c r="E1337" i="4"/>
  <c r="B1337" i="4"/>
  <c r="U1336" i="4"/>
  <c r="K1336" i="4"/>
  <c r="E1336" i="4"/>
  <c r="B1336" i="4"/>
  <c r="U1335" i="4"/>
  <c r="K1335" i="4"/>
  <c r="E1335" i="4"/>
  <c r="B1335" i="4"/>
  <c r="U1334" i="4"/>
  <c r="K1334" i="4"/>
  <c r="E1334" i="4"/>
  <c r="B1334" i="4"/>
  <c r="U1333" i="4"/>
  <c r="K1333" i="4"/>
  <c r="E1333" i="4"/>
  <c r="B1333" i="4"/>
  <c r="U1332" i="4"/>
  <c r="K1332" i="4"/>
  <c r="E1332" i="4"/>
  <c r="B1332" i="4"/>
  <c r="U1331" i="4"/>
  <c r="K1331" i="4"/>
  <c r="E1331" i="4"/>
  <c r="B1331" i="4"/>
  <c r="U1330" i="4"/>
  <c r="K1330" i="4"/>
  <c r="E1330" i="4"/>
  <c r="B1330" i="4"/>
  <c r="U1329" i="4"/>
  <c r="K1329" i="4"/>
  <c r="E1329" i="4"/>
  <c r="B1329" i="4"/>
  <c r="U1328" i="4"/>
  <c r="K1328" i="4"/>
  <c r="E1328" i="4"/>
  <c r="B1328" i="4"/>
  <c r="U1327" i="4"/>
  <c r="K1327" i="4"/>
  <c r="E1327" i="4"/>
  <c r="B1327" i="4"/>
  <c r="U1326" i="4"/>
  <c r="K1326" i="4"/>
  <c r="E1326" i="4"/>
  <c r="B1326" i="4"/>
  <c r="U1325" i="4"/>
  <c r="K1325" i="4"/>
  <c r="E1325" i="4"/>
  <c r="B1325" i="4"/>
  <c r="U1324" i="4"/>
  <c r="K1324" i="4"/>
  <c r="E1324" i="4"/>
  <c r="B1324" i="4"/>
  <c r="U1323" i="4"/>
  <c r="K1323" i="4"/>
  <c r="E1323" i="4"/>
  <c r="B1323" i="4"/>
  <c r="U1322" i="4"/>
  <c r="K1322" i="4"/>
  <c r="E1322" i="4"/>
  <c r="B1322" i="4"/>
  <c r="U1321" i="4"/>
  <c r="K1321" i="4"/>
  <c r="E1321" i="4"/>
  <c r="B1321" i="4"/>
  <c r="U1320" i="4"/>
  <c r="K1320" i="4"/>
  <c r="E1320" i="4"/>
  <c r="B1320" i="4"/>
  <c r="U1319" i="4"/>
  <c r="K1319" i="4"/>
  <c r="E1319" i="4"/>
  <c r="B1319" i="4"/>
  <c r="U1318" i="4"/>
  <c r="K1318" i="4"/>
  <c r="E1318" i="4"/>
  <c r="B1318" i="4"/>
  <c r="U1317" i="4"/>
  <c r="K1317" i="4"/>
  <c r="E1317" i="4"/>
  <c r="B1317" i="4"/>
  <c r="U1316" i="4"/>
  <c r="K1316" i="4"/>
  <c r="E1316" i="4"/>
  <c r="B1316" i="4"/>
  <c r="U1315" i="4"/>
  <c r="K1315" i="4"/>
  <c r="E1315" i="4"/>
  <c r="B1315" i="4"/>
  <c r="U1314" i="4"/>
  <c r="K1314" i="4"/>
  <c r="E1314" i="4"/>
  <c r="B1314" i="4"/>
  <c r="U1313" i="4"/>
  <c r="K1313" i="4"/>
  <c r="E1313" i="4"/>
  <c r="B1313" i="4"/>
  <c r="U1312" i="4"/>
  <c r="K1312" i="4"/>
  <c r="E1312" i="4"/>
  <c r="B1312" i="4"/>
  <c r="U1311" i="4"/>
  <c r="K1311" i="4"/>
  <c r="E1311" i="4"/>
  <c r="B1311" i="4"/>
  <c r="U1310" i="4"/>
  <c r="K1310" i="4"/>
  <c r="E1310" i="4"/>
  <c r="B1310" i="4"/>
  <c r="U1309" i="4"/>
  <c r="K1309" i="4"/>
  <c r="E1309" i="4"/>
  <c r="B1309" i="4"/>
  <c r="U1308" i="4"/>
  <c r="K1308" i="4"/>
  <c r="E1308" i="4"/>
  <c r="B1308" i="4"/>
  <c r="U1307" i="4"/>
  <c r="K1307" i="4"/>
  <c r="E1307" i="4"/>
  <c r="B1307" i="4"/>
  <c r="U1306" i="4"/>
  <c r="K1306" i="4"/>
  <c r="E1306" i="4"/>
  <c r="B1306" i="4"/>
  <c r="U1305" i="4"/>
  <c r="K1305" i="4"/>
  <c r="E1305" i="4"/>
  <c r="B1305" i="4"/>
  <c r="U1304" i="4"/>
  <c r="K1304" i="4"/>
  <c r="E1304" i="4"/>
  <c r="B1304" i="4"/>
  <c r="U1303" i="4"/>
  <c r="K1303" i="4"/>
  <c r="E1303" i="4"/>
  <c r="B1303" i="4"/>
  <c r="U1302" i="4"/>
  <c r="K1302" i="4"/>
  <c r="E1302" i="4"/>
  <c r="B1302" i="4"/>
  <c r="U1301" i="4"/>
  <c r="K1301" i="4"/>
  <c r="E1301" i="4"/>
  <c r="B1301" i="4"/>
  <c r="U1300" i="4"/>
  <c r="K1300" i="4"/>
  <c r="E1300" i="4"/>
  <c r="B1300" i="4"/>
  <c r="U1299" i="4"/>
  <c r="K1299" i="4"/>
  <c r="E1299" i="4"/>
  <c r="B1299" i="4"/>
  <c r="K1298" i="4"/>
  <c r="E1298" i="4"/>
  <c r="B1298" i="4"/>
  <c r="U1297" i="4"/>
  <c r="K1297" i="4"/>
  <c r="E1297" i="4"/>
  <c r="B1297" i="4"/>
  <c r="U1296" i="4"/>
  <c r="K1296" i="4"/>
  <c r="E1296" i="4"/>
  <c r="B1296" i="4"/>
  <c r="U1295" i="4"/>
  <c r="K1295" i="4"/>
  <c r="E1295" i="4"/>
  <c r="B1295" i="4"/>
  <c r="U1294" i="4"/>
  <c r="K1294" i="4"/>
  <c r="E1294" i="4"/>
  <c r="B1294" i="4"/>
  <c r="U1293" i="4"/>
  <c r="K1293" i="4"/>
  <c r="E1293" i="4"/>
  <c r="B1293" i="4"/>
  <c r="U1292" i="4"/>
  <c r="K1292" i="4"/>
  <c r="E1292" i="4"/>
  <c r="B1292" i="4"/>
  <c r="U1291" i="4"/>
  <c r="K1291" i="4"/>
  <c r="E1291" i="4"/>
  <c r="B1291" i="4"/>
  <c r="U1290" i="4"/>
  <c r="K1290" i="4"/>
  <c r="E1290" i="4"/>
  <c r="B1290" i="4"/>
  <c r="U1289" i="4"/>
  <c r="K1289" i="4"/>
  <c r="E1289" i="4"/>
  <c r="B1289" i="4"/>
  <c r="U1288" i="4"/>
  <c r="K1288" i="4"/>
  <c r="E1288" i="4"/>
  <c r="B1288" i="4"/>
  <c r="U1287" i="4"/>
  <c r="K1287" i="4"/>
  <c r="E1287" i="4"/>
  <c r="B1287" i="4"/>
  <c r="U1286" i="4"/>
  <c r="K1286" i="4"/>
  <c r="E1286" i="4"/>
  <c r="B1286" i="4"/>
  <c r="U1285" i="4"/>
  <c r="K1285" i="4"/>
  <c r="E1285" i="4"/>
  <c r="B1285" i="4"/>
  <c r="U1284" i="4"/>
  <c r="K1284" i="4"/>
  <c r="E1284" i="4"/>
  <c r="B1284" i="4"/>
  <c r="U1283" i="4"/>
  <c r="K1283" i="4"/>
  <c r="E1283" i="4"/>
  <c r="B1283" i="4"/>
  <c r="U1282" i="4"/>
  <c r="K1282" i="4"/>
  <c r="E1282" i="4"/>
  <c r="B1282" i="4"/>
  <c r="U1281" i="4"/>
  <c r="K1281" i="4"/>
  <c r="E1281" i="4"/>
  <c r="B1281" i="4"/>
  <c r="U1280" i="4"/>
  <c r="K1280" i="4"/>
  <c r="E1280" i="4"/>
  <c r="B1280" i="4"/>
  <c r="U1279" i="4"/>
  <c r="K1279" i="4"/>
  <c r="E1279" i="4"/>
  <c r="B1279" i="4"/>
  <c r="U1278" i="4"/>
  <c r="K1278" i="4"/>
  <c r="E1278" i="4"/>
  <c r="B1278" i="4"/>
  <c r="U1277" i="4"/>
  <c r="K1277" i="4"/>
  <c r="E1277" i="4"/>
  <c r="B1277" i="4"/>
  <c r="U1276" i="4"/>
  <c r="K1276" i="4"/>
  <c r="E1276" i="4"/>
  <c r="B1276" i="4"/>
  <c r="U1275" i="4"/>
  <c r="K1275" i="4"/>
  <c r="E1275" i="4"/>
  <c r="B1275" i="4"/>
  <c r="U1274" i="4"/>
  <c r="K1274" i="4"/>
  <c r="E1274" i="4"/>
  <c r="B1274" i="4"/>
  <c r="U1273" i="4"/>
  <c r="K1273" i="4"/>
  <c r="E1273" i="4"/>
  <c r="B1273" i="4"/>
  <c r="U1272" i="4"/>
  <c r="K1272" i="4"/>
  <c r="E1272" i="4"/>
  <c r="B1272" i="4"/>
  <c r="U1271" i="4"/>
  <c r="K1271" i="4"/>
  <c r="E1271" i="4"/>
  <c r="B1271" i="4"/>
  <c r="U1270" i="4"/>
  <c r="K1270" i="4"/>
  <c r="E1270" i="4"/>
  <c r="B1270" i="4"/>
  <c r="U1269" i="4"/>
  <c r="K1269" i="4"/>
  <c r="E1269" i="4"/>
  <c r="B1269" i="4"/>
  <c r="U1268" i="4"/>
  <c r="K1268" i="4"/>
  <c r="E1268" i="4"/>
  <c r="B1268" i="4"/>
  <c r="U1267" i="4"/>
  <c r="K1267" i="4"/>
  <c r="E1267" i="4"/>
  <c r="B1267" i="4"/>
  <c r="U1266" i="4"/>
  <c r="K1266" i="4"/>
  <c r="E1266" i="4"/>
  <c r="B1266" i="4"/>
  <c r="U1265" i="4"/>
  <c r="K1265" i="4"/>
  <c r="E1265" i="4"/>
  <c r="B1265" i="4"/>
  <c r="U1264" i="4"/>
  <c r="K1264" i="4"/>
  <c r="E1264" i="4"/>
  <c r="B1264" i="4"/>
  <c r="U1263" i="4"/>
  <c r="K1263" i="4"/>
  <c r="E1263" i="4"/>
  <c r="B1263" i="4"/>
  <c r="U1262" i="4"/>
  <c r="K1262" i="4"/>
  <c r="E1262" i="4"/>
  <c r="B1262" i="4"/>
  <c r="U1261" i="4"/>
  <c r="K1261" i="4"/>
  <c r="E1261" i="4"/>
  <c r="B1261" i="4"/>
  <c r="U1260" i="4"/>
  <c r="K1260" i="4"/>
  <c r="E1260" i="4"/>
  <c r="B1260" i="4"/>
  <c r="U1259" i="4"/>
  <c r="K1259" i="4"/>
  <c r="E1259" i="4"/>
  <c r="B1259" i="4"/>
  <c r="U1258" i="4"/>
  <c r="K1258" i="4"/>
  <c r="E1258" i="4"/>
  <c r="B1258" i="4"/>
  <c r="U1257" i="4"/>
  <c r="K1257" i="4"/>
  <c r="E1257" i="4"/>
  <c r="B1257" i="4"/>
  <c r="U1256" i="4"/>
  <c r="K1256" i="4"/>
  <c r="E1256" i="4"/>
  <c r="B1256" i="4"/>
  <c r="U1255" i="4"/>
  <c r="K1255" i="4"/>
  <c r="E1255" i="4"/>
  <c r="B1255" i="4"/>
  <c r="U1254" i="4"/>
  <c r="K1254" i="4"/>
  <c r="E1254" i="4"/>
  <c r="B1254" i="4"/>
  <c r="U1253" i="4"/>
  <c r="K1253" i="4"/>
  <c r="E1253" i="4"/>
  <c r="B1253" i="4"/>
  <c r="U1252" i="4"/>
  <c r="K1252" i="4"/>
  <c r="E1252" i="4"/>
  <c r="B1252" i="4"/>
  <c r="U1251" i="4"/>
  <c r="K1251" i="4"/>
  <c r="E1251" i="4"/>
  <c r="B1251" i="4"/>
  <c r="U1250" i="4"/>
  <c r="K1250" i="4"/>
  <c r="E1250" i="4"/>
  <c r="B1250" i="4"/>
  <c r="U1249" i="4"/>
  <c r="K1249" i="4"/>
  <c r="E1249" i="4"/>
  <c r="B1249" i="4"/>
  <c r="U1248" i="4"/>
  <c r="K1248" i="4"/>
  <c r="E1248" i="4"/>
  <c r="B1248" i="4"/>
  <c r="U1247" i="4"/>
  <c r="K1247" i="4"/>
  <c r="E1247" i="4"/>
  <c r="B1247" i="4"/>
  <c r="U1246" i="4"/>
  <c r="K1246" i="4"/>
  <c r="E1246" i="4"/>
  <c r="B1246" i="4"/>
  <c r="U1245" i="4"/>
  <c r="K1245" i="4"/>
  <c r="E1245" i="4"/>
  <c r="B1245" i="4"/>
  <c r="U1244" i="4"/>
  <c r="K1244" i="4"/>
  <c r="E1244" i="4"/>
  <c r="B1244" i="4"/>
  <c r="U1243" i="4"/>
  <c r="K1243" i="4"/>
  <c r="E1243" i="4"/>
  <c r="B1243" i="4"/>
  <c r="U1242" i="4"/>
  <c r="K1242" i="4"/>
  <c r="E1242" i="4"/>
  <c r="B1242" i="4"/>
  <c r="U1241" i="4"/>
  <c r="K1241" i="4"/>
  <c r="E1241" i="4"/>
  <c r="B1241" i="4"/>
  <c r="U1240" i="4"/>
  <c r="K1240" i="4"/>
  <c r="E1240" i="4"/>
  <c r="B1240" i="4"/>
  <c r="U1239" i="4"/>
  <c r="K1239" i="4"/>
  <c r="E1239" i="4"/>
  <c r="B1239" i="4"/>
  <c r="U1238" i="4"/>
  <c r="K1238" i="4"/>
  <c r="E1238" i="4"/>
  <c r="B1238" i="4"/>
  <c r="U1237" i="4"/>
  <c r="K1237" i="4"/>
  <c r="E1237" i="4"/>
  <c r="B1237" i="4"/>
  <c r="U1236" i="4"/>
  <c r="K1236" i="4"/>
  <c r="E1236" i="4"/>
  <c r="B1236" i="4"/>
  <c r="U1235" i="4"/>
  <c r="K1235" i="4"/>
  <c r="E1235" i="4"/>
  <c r="B1235" i="4"/>
  <c r="U1234" i="4"/>
  <c r="K1234" i="4"/>
  <c r="E1234" i="4"/>
  <c r="B1234" i="4"/>
  <c r="U1233" i="4"/>
  <c r="K1233" i="4"/>
  <c r="E1233" i="4"/>
  <c r="B1233" i="4"/>
  <c r="U1232" i="4"/>
  <c r="K1232" i="4"/>
  <c r="E1232" i="4"/>
  <c r="B1232" i="4"/>
  <c r="U1231" i="4"/>
  <c r="K1231" i="4"/>
  <c r="E1231" i="4"/>
  <c r="B1231" i="4"/>
  <c r="U1230" i="4"/>
  <c r="K1230" i="4"/>
  <c r="E1230" i="4"/>
  <c r="B1230" i="4"/>
  <c r="U1229" i="4"/>
  <c r="K1229" i="4"/>
  <c r="E1229" i="4"/>
  <c r="B1229" i="4"/>
  <c r="U1228" i="4"/>
  <c r="K1228" i="4"/>
  <c r="E1228" i="4"/>
  <c r="B1228" i="4"/>
  <c r="U1227" i="4"/>
  <c r="K1227" i="4"/>
  <c r="E1227" i="4"/>
  <c r="B1227" i="4"/>
  <c r="U1226" i="4"/>
  <c r="K1226" i="4"/>
  <c r="E1226" i="4"/>
  <c r="B1226" i="4"/>
  <c r="U1225" i="4"/>
  <c r="K1225" i="4"/>
  <c r="E1225" i="4"/>
  <c r="B1225" i="4"/>
  <c r="U1224" i="4"/>
  <c r="K1224" i="4"/>
  <c r="E1224" i="4"/>
  <c r="B1224" i="4"/>
  <c r="U1223" i="4"/>
  <c r="K1223" i="4"/>
  <c r="E1223" i="4"/>
  <c r="B1223" i="4"/>
  <c r="U1222" i="4"/>
  <c r="K1222" i="4"/>
  <c r="E1222" i="4"/>
  <c r="B1222" i="4"/>
  <c r="U1221" i="4"/>
  <c r="K1221" i="4"/>
  <c r="E1221" i="4"/>
  <c r="B1221" i="4"/>
  <c r="U1220" i="4"/>
  <c r="K1220" i="4"/>
  <c r="E1220" i="4"/>
  <c r="B1220" i="4"/>
  <c r="U1219" i="4"/>
  <c r="K1219" i="4"/>
  <c r="E1219" i="4"/>
  <c r="B1219" i="4"/>
  <c r="U1218" i="4"/>
  <c r="K1218" i="4"/>
  <c r="E1218" i="4"/>
  <c r="B1218" i="4"/>
  <c r="U1217" i="4"/>
  <c r="K1217" i="4"/>
  <c r="E1217" i="4"/>
  <c r="B1217" i="4"/>
  <c r="U1216" i="4"/>
  <c r="K1216" i="4"/>
  <c r="E1216" i="4"/>
  <c r="B1216" i="4"/>
  <c r="U1215" i="4"/>
  <c r="K1215" i="4"/>
  <c r="E1215" i="4"/>
  <c r="B1215" i="4"/>
  <c r="U1214" i="4"/>
  <c r="K1214" i="4"/>
  <c r="E1214" i="4"/>
  <c r="B1214" i="4"/>
  <c r="U1213" i="4"/>
  <c r="K1213" i="4"/>
  <c r="E1213" i="4"/>
  <c r="B1213" i="4"/>
  <c r="U1212" i="4"/>
  <c r="K1212" i="4"/>
  <c r="E1212" i="4"/>
  <c r="B1212" i="4"/>
  <c r="U1211" i="4"/>
  <c r="K1211" i="4"/>
  <c r="E1211" i="4"/>
  <c r="B1211" i="4"/>
  <c r="U1210" i="4"/>
  <c r="K1210" i="4"/>
  <c r="E1210" i="4"/>
  <c r="B1210" i="4"/>
  <c r="U1209" i="4"/>
  <c r="K1209" i="4"/>
  <c r="E1209" i="4"/>
  <c r="B1209" i="4"/>
  <c r="U1208" i="4"/>
  <c r="K1208" i="4"/>
  <c r="E1208" i="4"/>
  <c r="B1208" i="4"/>
  <c r="U1207" i="4"/>
  <c r="K1207" i="4"/>
  <c r="E1207" i="4"/>
  <c r="B1207" i="4"/>
  <c r="U1206" i="4"/>
  <c r="K1206" i="4"/>
  <c r="E1206" i="4"/>
  <c r="B1206" i="4"/>
  <c r="U1205" i="4"/>
  <c r="K1205" i="4"/>
  <c r="E1205" i="4"/>
  <c r="B1205" i="4"/>
  <c r="U1204" i="4"/>
  <c r="K1204" i="4"/>
  <c r="E1204" i="4"/>
  <c r="B1204" i="4"/>
  <c r="U1203" i="4"/>
  <c r="K1203" i="4"/>
  <c r="E1203" i="4"/>
  <c r="B1203" i="4"/>
  <c r="U1202" i="4"/>
  <c r="K1202" i="4"/>
  <c r="E1202" i="4"/>
  <c r="B1202" i="4"/>
  <c r="K1201" i="4"/>
  <c r="E1201" i="4"/>
  <c r="B1201" i="4"/>
  <c r="U1200" i="4"/>
  <c r="K1200" i="4"/>
  <c r="E1200" i="4"/>
  <c r="B1200" i="4"/>
  <c r="U1199" i="4"/>
  <c r="K1199" i="4"/>
  <c r="E1199" i="4"/>
  <c r="B1199" i="4"/>
  <c r="U1198" i="4"/>
  <c r="K1198" i="4"/>
  <c r="E1198" i="4"/>
  <c r="B1198" i="4"/>
  <c r="U1197" i="4"/>
  <c r="K1197" i="4"/>
  <c r="E1197" i="4"/>
  <c r="B1197" i="4"/>
  <c r="U1196" i="4"/>
  <c r="K1196" i="4"/>
  <c r="E1196" i="4"/>
  <c r="B1196" i="4"/>
  <c r="U1195" i="4"/>
  <c r="K1195" i="4"/>
  <c r="E1195" i="4"/>
  <c r="B1195" i="4"/>
  <c r="U1194" i="4"/>
  <c r="K1194" i="4"/>
  <c r="E1194" i="4"/>
  <c r="B1194" i="4"/>
  <c r="U1193" i="4"/>
  <c r="K1193" i="4"/>
  <c r="E1193" i="4"/>
  <c r="B1193" i="4"/>
  <c r="K1192" i="4"/>
  <c r="E1192" i="4"/>
  <c r="B1192" i="4"/>
  <c r="U1191" i="4"/>
  <c r="K1191" i="4"/>
  <c r="E1191" i="4"/>
  <c r="B1191" i="4"/>
  <c r="U1190" i="4"/>
  <c r="K1190" i="4"/>
  <c r="E1190" i="4"/>
  <c r="B1190" i="4"/>
  <c r="U1189" i="4"/>
  <c r="K1189" i="4"/>
  <c r="E1189" i="4"/>
  <c r="B1189" i="4"/>
  <c r="U1188" i="4"/>
  <c r="K1188" i="4"/>
  <c r="E1188" i="4"/>
  <c r="B1188" i="4"/>
  <c r="U1187" i="4"/>
  <c r="K1187" i="4"/>
  <c r="E1187" i="4"/>
  <c r="B1187" i="4"/>
  <c r="U1186" i="4"/>
  <c r="K1186" i="4"/>
  <c r="E1186" i="4"/>
  <c r="B1186" i="4"/>
  <c r="U1185" i="4"/>
  <c r="K1185" i="4"/>
  <c r="E1185" i="4"/>
  <c r="B1185" i="4"/>
  <c r="U1184" i="4"/>
  <c r="K1184" i="4"/>
  <c r="E1184" i="4"/>
  <c r="B1184" i="4"/>
  <c r="U1183" i="4"/>
  <c r="K1183" i="4"/>
  <c r="E1183" i="4"/>
  <c r="B1183" i="4"/>
  <c r="U1182" i="4"/>
  <c r="K1182" i="4"/>
  <c r="E1182" i="4"/>
  <c r="B1182" i="4"/>
  <c r="U1181" i="4"/>
  <c r="K1181" i="4"/>
  <c r="E1181" i="4"/>
  <c r="B1181" i="4"/>
  <c r="U1180" i="4"/>
  <c r="K1180" i="4"/>
  <c r="E1180" i="4"/>
  <c r="B1180" i="4"/>
  <c r="U1179" i="4"/>
  <c r="K1179" i="4"/>
  <c r="E1179" i="4"/>
  <c r="B1179" i="4"/>
  <c r="U1178" i="4"/>
  <c r="K1178" i="4"/>
  <c r="E1178" i="4"/>
  <c r="B1178" i="4"/>
  <c r="U1177" i="4"/>
  <c r="K1177" i="4"/>
  <c r="E1177" i="4"/>
  <c r="B1177" i="4"/>
  <c r="U1176" i="4"/>
  <c r="K1176" i="4"/>
  <c r="E1176" i="4"/>
  <c r="B1176" i="4"/>
  <c r="U1175" i="4"/>
  <c r="K1175" i="4"/>
  <c r="E1175" i="4"/>
  <c r="B1175" i="4"/>
  <c r="U1174" i="4"/>
  <c r="K1174" i="4"/>
  <c r="E1174" i="4"/>
  <c r="B1174" i="4"/>
  <c r="U1173" i="4"/>
  <c r="K1173" i="4"/>
  <c r="E1173" i="4"/>
  <c r="B1173" i="4"/>
  <c r="U1172" i="4"/>
  <c r="K1172" i="4"/>
  <c r="E1172" i="4"/>
  <c r="B1172" i="4"/>
  <c r="U1171" i="4"/>
  <c r="K1171" i="4"/>
  <c r="E1171" i="4"/>
  <c r="B1171" i="4"/>
  <c r="U1170" i="4"/>
  <c r="K1170" i="4"/>
  <c r="E1170" i="4"/>
  <c r="B1170" i="4"/>
  <c r="U1169" i="4"/>
  <c r="K1169" i="4"/>
  <c r="E1169" i="4"/>
  <c r="B1169" i="4"/>
  <c r="U1168" i="4"/>
  <c r="K1168" i="4"/>
  <c r="E1168" i="4"/>
  <c r="B1168" i="4"/>
  <c r="U1167" i="4"/>
  <c r="K1167" i="4"/>
  <c r="E1167" i="4"/>
  <c r="B1167" i="4"/>
  <c r="U1166" i="4"/>
  <c r="K1166" i="4"/>
  <c r="E1166" i="4"/>
  <c r="B1166" i="4"/>
  <c r="U1165" i="4"/>
  <c r="K1165" i="4"/>
  <c r="E1165" i="4"/>
  <c r="B1165" i="4"/>
  <c r="U1164" i="4"/>
  <c r="K1164" i="4"/>
  <c r="E1164" i="4"/>
  <c r="B1164" i="4"/>
  <c r="U1163" i="4"/>
  <c r="K1163" i="4"/>
  <c r="E1163" i="4"/>
  <c r="B1163" i="4"/>
  <c r="U1162" i="4"/>
  <c r="K1162" i="4"/>
  <c r="E1162" i="4"/>
  <c r="B1162" i="4"/>
  <c r="U1161" i="4"/>
  <c r="K1161" i="4"/>
  <c r="E1161" i="4"/>
  <c r="B1161" i="4"/>
  <c r="U1160" i="4"/>
  <c r="K1160" i="4"/>
  <c r="E1160" i="4"/>
  <c r="B1160" i="4"/>
  <c r="U1159" i="4"/>
  <c r="K1159" i="4"/>
  <c r="E1159" i="4"/>
  <c r="B1159" i="4"/>
  <c r="U1158" i="4"/>
  <c r="K1158" i="4"/>
  <c r="E1158" i="4"/>
  <c r="B1158" i="4"/>
  <c r="U1157" i="4"/>
  <c r="K1157" i="4"/>
  <c r="E1157" i="4"/>
  <c r="B1157" i="4"/>
  <c r="U1156" i="4"/>
  <c r="K1156" i="4"/>
  <c r="E1156" i="4"/>
  <c r="B1156" i="4"/>
  <c r="U1155" i="4"/>
  <c r="K1155" i="4"/>
  <c r="E1155" i="4"/>
  <c r="B1155" i="4"/>
  <c r="U1154" i="4"/>
  <c r="K1154" i="4"/>
  <c r="E1154" i="4"/>
  <c r="B1154" i="4"/>
  <c r="U1153" i="4"/>
  <c r="K1153" i="4"/>
  <c r="E1153" i="4"/>
  <c r="B1153" i="4"/>
  <c r="U1152" i="4"/>
  <c r="K1152" i="4"/>
  <c r="E1152" i="4"/>
  <c r="B1152" i="4"/>
  <c r="U1151" i="4"/>
  <c r="K1151" i="4"/>
  <c r="E1151" i="4"/>
  <c r="B1151" i="4"/>
  <c r="U1150" i="4"/>
  <c r="K1150" i="4"/>
  <c r="E1150" i="4"/>
  <c r="B1150" i="4"/>
  <c r="U1149" i="4"/>
  <c r="K1149" i="4"/>
  <c r="E1149" i="4"/>
  <c r="B1149" i="4"/>
  <c r="U1148" i="4"/>
  <c r="K1148" i="4"/>
  <c r="E1148" i="4"/>
  <c r="B1148" i="4"/>
  <c r="U1147" i="4"/>
  <c r="K1147" i="4"/>
  <c r="E1147" i="4"/>
  <c r="B1147" i="4"/>
  <c r="U1146" i="4"/>
  <c r="K1146" i="4"/>
  <c r="E1146" i="4"/>
  <c r="B1146" i="4"/>
  <c r="U1145" i="4"/>
  <c r="K1145" i="4"/>
  <c r="E1145" i="4"/>
  <c r="B1145" i="4"/>
  <c r="U1144" i="4"/>
  <c r="K1144" i="4"/>
  <c r="E1144" i="4"/>
  <c r="B1144" i="4"/>
  <c r="U1143" i="4"/>
  <c r="K1143" i="4"/>
  <c r="E1143" i="4"/>
  <c r="B1143" i="4"/>
  <c r="U1142" i="4"/>
  <c r="K1142" i="4"/>
  <c r="E1142" i="4"/>
  <c r="B1142" i="4"/>
  <c r="U1141" i="4"/>
  <c r="K1141" i="4"/>
  <c r="E1141" i="4"/>
  <c r="B1141" i="4"/>
  <c r="U1140" i="4"/>
  <c r="K1140" i="4"/>
  <c r="E1140" i="4"/>
  <c r="B1140" i="4"/>
  <c r="U1139" i="4"/>
  <c r="K1139" i="4"/>
  <c r="E1139" i="4"/>
  <c r="B1139" i="4"/>
  <c r="U1138" i="4"/>
  <c r="K1138" i="4"/>
  <c r="E1138" i="4"/>
  <c r="B1138" i="4"/>
  <c r="U1137" i="4"/>
  <c r="K1137" i="4"/>
  <c r="E1137" i="4"/>
  <c r="B1137" i="4"/>
  <c r="U1136" i="4"/>
  <c r="K1136" i="4"/>
  <c r="E1136" i="4"/>
  <c r="B1136" i="4"/>
  <c r="U1135" i="4"/>
  <c r="K1135" i="4"/>
  <c r="E1135" i="4"/>
  <c r="B1135" i="4"/>
  <c r="U1134" i="4"/>
  <c r="K1134" i="4"/>
  <c r="E1134" i="4"/>
  <c r="B1134" i="4"/>
  <c r="U1133" i="4"/>
  <c r="K1133" i="4"/>
  <c r="E1133" i="4"/>
  <c r="B1133" i="4"/>
  <c r="U1132" i="4"/>
  <c r="K1132" i="4"/>
  <c r="E1132" i="4"/>
  <c r="B1132" i="4"/>
  <c r="U1131" i="4"/>
  <c r="K1131" i="4"/>
  <c r="E1131" i="4"/>
  <c r="B1131" i="4"/>
  <c r="U1130" i="4"/>
  <c r="K1130" i="4"/>
  <c r="E1130" i="4"/>
  <c r="B1130" i="4"/>
  <c r="U1129" i="4"/>
  <c r="K1129" i="4"/>
  <c r="E1129" i="4"/>
  <c r="B1129" i="4"/>
  <c r="U1128" i="4"/>
  <c r="K1128" i="4"/>
  <c r="E1128" i="4"/>
  <c r="B1128" i="4"/>
  <c r="U1127" i="4"/>
  <c r="K1127" i="4"/>
  <c r="E1127" i="4"/>
  <c r="B1127" i="4"/>
  <c r="U1126" i="4"/>
  <c r="K1126" i="4"/>
  <c r="E1126" i="4"/>
  <c r="B1126" i="4"/>
  <c r="U1125" i="4"/>
  <c r="K1125" i="4"/>
  <c r="E1125" i="4"/>
  <c r="B1125" i="4"/>
  <c r="U1124" i="4"/>
  <c r="K1124" i="4"/>
  <c r="E1124" i="4"/>
  <c r="B1124" i="4"/>
  <c r="U1123" i="4"/>
  <c r="K1123" i="4"/>
  <c r="E1123" i="4"/>
  <c r="B1123" i="4"/>
  <c r="U1122" i="4"/>
  <c r="K1122" i="4"/>
  <c r="E1122" i="4"/>
  <c r="B1122" i="4"/>
  <c r="U1121" i="4"/>
  <c r="K1121" i="4"/>
  <c r="E1121" i="4"/>
  <c r="B1121" i="4"/>
  <c r="U1120" i="4"/>
  <c r="K1120" i="4"/>
  <c r="E1120" i="4"/>
  <c r="B1120" i="4"/>
  <c r="U1119" i="4"/>
  <c r="K1119" i="4"/>
  <c r="E1119" i="4"/>
  <c r="B1119" i="4"/>
  <c r="U1118" i="4"/>
  <c r="K1118" i="4"/>
  <c r="E1118" i="4"/>
  <c r="B1118" i="4"/>
  <c r="U1117" i="4"/>
  <c r="K1117" i="4"/>
  <c r="E1117" i="4"/>
  <c r="B1117" i="4"/>
  <c r="U1116" i="4"/>
  <c r="K1116" i="4"/>
  <c r="E1116" i="4"/>
  <c r="B1116" i="4"/>
  <c r="U1115" i="4"/>
  <c r="K1115" i="4"/>
  <c r="E1115" i="4"/>
  <c r="B1115" i="4"/>
  <c r="U1114" i="4"/>
  <c r="K1114" i="4"/>
  <c r="E1114" i="4"/>
  <c r="B1114" i="4"/>
  <c r="U1113" i="4"/>
  <c r="K1113" i="4"/>
  <c r="E1113" i="4"/>
  <c r="B1113" i="4"/>
  <c r="U1112" i="4"/>
  <c r="K1112" i="4"/>
  <c r="E1112" i="4"/>
  <c r="B1112" i="4"/>
  <c r="U1111" i="4"/>
  <c r="K1111" i="4"/>
  <c r="E1111" i="4"/>
  <c r="B1111" i="4"/>
  <c r="U1110" i="4"/>
  <c r="K1110" i="4"/>
  <c r="E1110" i="4"/>
  <c r="B1110" i="4"/>
  <c r="U1109" i="4"/>
  <c r="K1109" i="4"/>
  <c r="E1109" i="4"/>
  <c r="B1109" i="4"/>
  <c r="U1108" i="4"/>
  <c r="K1108" i="4"/>
  <c r="E1108" i="4"/>
  <c r="B1108" i="4"/>
  <c r="U1107" i="4"/>
  <c r="K1107" i="4"/>
  <c r="E1107" i="4"/>
  <c r="B1107" i="4"/>
  <c r="U1106" i="4"/>
  <c r="K1106" i="4"/>
  <c r="E1106" i="4"/>
  <c r="B1106" i="4"/>
  <c r="U1105" i="4"/>
  <c r="K1105" i="4"/>
  <c r="E1105" i="4"/>
  <c r="B1105" i="4"/>
  <c r="U1104" i="4"/>
  <c r="K1104" i="4"/>
  <c r="E1104" i="4"/>
  <c r="B1104" i="4"/>
  <c r="U1103" i="4"/>
  <c r="K1103" i="4"/>
  <c r="E1103" i="4"/>
  <c r="B1103" i="4"/>
  <c r="U1102" i="4"/>
  <c r="K1102" i="4"/>
  <c r="E1102" i="4"/>
  <c r="B1102" i="4"/>
  <c r="U1101" i="4"/>
  <c r="K1101" i="4"/>
  <c r="E1101" i="4"/>
  <c r="B1101" i="4"/>
  <c r="U1100" i="4"/>
  <c r="K1100" i="4"/>
  <c r="E1100" i="4"/>
  <c r="B1100" i="4"/>
  <c r="U1099" i="4"/>
  <c r="K1099" i="4"/>
  <c r="E1099" i="4"/>
  <c r="B1099" i="4"/>
  <c r="U1098" i="4"/>
  <c r="K1098" i="4"/>
  <c r="E1098" i="4"/>
  <c r="B1098" i="4"/>
  <c r="U1097" i="4"/>
  <c r="K1097" i="4"/>
  <c r="E1097" i="4"/>
  <c r="B1097" i="4"/>
  <c r="U1096" i="4"/>
  <c r="K1096" i="4"/>
  <c r="E1096" i="4"/>
  <c r="B1096" i="4"/>
  <c r="U1095" i="4"/>
  <c r="K1095" i="4"/>
  <c r="E1095" i="4"/>
  <c r="B1095" i="4"/>
  <c r="U1094" i="4"/>
  <c r="K1094" i="4"/>
  <c r="E1094" i="4"/>
  <c r="B1094" i="4"/>
  <c r="U1093" i="4"/>
  <c r="K1093" i="4"/>
  <c r="E1093" i="4"/>
  <c r="B1093" i="4"/>
  <c r="U1092" i="4"/>
  <c r="K1092" i="4"/>
  <c r="E1092" i="4"/>
  <c r="B1092" i="4"/>
  <c r="U1091" i="4"/>
  <c r="K1091" i="4"/>
  <c r="E1091" i="4"/>
  <c r="B1091" i="4"/>
  <c r="U1090" i="4"/>
  <c r="K1090" i="4"/>
  <c r="E1090" i="4"/>
  <c r="B1090" i="4"/>
  <c r="U1089" i="4"/>
  <c r="K1089" i="4"/>
  <c r="E1089" i="4"/>
  <c r="B1089" i="4"/>
  <c r="U1088" i="4"/>
  <c r="K1088" i="4"/>
  <c r="E1088" i="4"/>
  <c r="B1088" i="4"/>
  <c r="U1087" i="4"/>
  <c r="K1087" i="4"/>
  <c r="E1087" i="4"/>
  <c r="B1087" i="4"/>
  <c r="U1086" i="4"/>
  <c r="K1086" i="4"/>
  <c r="E1086" i="4"/>
  <c r="B1086" i="4"/>
  <c r="U1085" i="4"/>
  <c r="K1085" i="4"/>
  <c r="E1085" i="4"/>
  <c r="B1085" i="4"/>
  <c r="U1084" i="4"/>
  <c r="K1084" i="4"/>
  <c r="E1084" i="4"/>
  <c r="B1084" i="4"/>
  <c r="U1083" i="4"/>
  <c r="K1083" i="4"/>
  <c r="E1083" i="4"/>
  <c r="B1083" i="4"/>
  <c r="U1082" i="4"/>
  <c r="K1082" i="4"/>
  <c r="E1082" i="4"/>
  <c r="B1082" i="4"/>
  <c r="U1081" i="4"/>
  <c r="K1081" i="4"/>
  <c r="E1081" i="4"/>
  <c r="B1081" i="4"/>
  <c r="U1080" i="4"/>
  <c r="K1080" i="4"/>
  <c r="E1080" i="4"/>
  <c r="B1080" i="4"/>
  <c r="U1079" i="4"/>
  <c r="K1079" i="4"/>
  <c r="E1079" i="4"/>
  <c r="B1079" i="4"/>
  <c r="U1078" i="4"/>
  <c r="K1078" i="4"/>
  <c r="E1078" i="4"/>
  <c r="B1078" i="4"/>
  <c r="U1077" i="4"/>
  <c r="K1077" i="4"/>
  <c r="E1077" i="4"/>
  <c r="B1077" i="4"/>
  <c r="U1076" i="4"/>
  <c r="K1076" i="4"/>
  <c r="E1076" i="4"/>
  <c r="B1076" i="4"/>
  <c r="U1075" i="4"/>
  <c r="K1075" i="4"/>
  <c r="E1075" i="4"/>
  <c r="B1075" i="4"/>
  <c r="U1074" i="4"/>
  <c r="K1074" i="4"/>
  <c r="E1074" i="4"/>
  <c r="B1074" i="4"/>
  <c r="U1073" i="4"/>
  <c r="K1073" i="4"/>
  <c r="E1073" i="4"/>
  <c r="B1073" i="4"/>
  <c r="U1072" i="4"/>
  <c r="K1072" i="4"/>
  <c r="E1072" i="4"/>
  <c r="B1072" i="4"/>
  <c r="U1071" i="4"/>
  <c r="K1071" i="4"/>
  <c r="E1071" i="4"/>
  <c r="B1071" i="4"/>
  <c r="U1070" i="4"/>
  <c r="K1070" i="4"/>
  <c r="E1070" i="4"/>
  <c r="B1070" i="4"/>
  <c r="U1069" i="4"/>
  <c r="K1069" i="4"/>
  <c r="E1069" i="4"/>
  <c r="B1069" i="4"/>
  <c r="U1068" i="4"/>
  <c r="K1068" i="4"/>
  <c r="E1068" i="4"/>
  <c r="B1068" i="4"/>
  <c r="U1067" i="4"/>
  <c r="K1067" i="4"/>
  <c r="E1067" i="4"/>
  <c r="B1067" i="4"/>
  <c r="U1066" i="4"/>
  <c r="K1066" i="4"/>
  <c r="E1066" i="4"/>
  <c r="B1066" i="4"/>
  <c r="U1065" i="4"/>
  <c r="K1065" i="4"/>
  <c r="E1065" i="4"/>
  <c r="B1065" i="4"/>
  <c r="U1064" i="4"/>
  <c r="K1064" i="4"/>
  <c r="E1064" i="4"/>
  <c r="B1064" i="4"/>
  <c r="U1063" i="4"/>
  <c r="K1063" i="4"/>
  <c r="E1063" i="4"/>
  <c r="B1063" i="4"/>
  <c r="U1062" i="4"/>
  <c r="K1062" i="4"/>
  <c r="E1062" i="4"/>
  <c r="B1062" i="4"/>
  <c r="U1061" i="4"/>
  <c r="K1061" i="4"/>
  <c r="E1061" i="4"/>
  <c r="B1061" i="4"/>
  <c r="U1060" i="4"/>
  <c r="K1060" i="4"/>
  <c r="E1060" i="4"/>
  <c r="B1060" i="4"/>
  <c r="U1059" i="4"/>
  <c r="K1059" i="4"/>
  <c r="E1059" i="4"/>
  <c r="B1059" i="4"/>
  <c r="U1058" i="4"/>
  <c r="K1058" i="4"/>
  <c r="E1058" i="4"/>
  <c r="B1058" i="4"/>
  <c r="U1057" i="4"/>
  <c r="K1057" i="4"/>
  <c r="E1057" i="4"/>
  <c r="B1057" i="4"/>
  <c r="U1056" i="4"/>
  <c r="K1056" i="4"/>
  <c r="E1056" i="4"/>
  <c r="B1056" i="4"/>
  <c r="U1055" i="4"/>
  <c r="K1055" i="4"/>
  <c r="E1055" i="4"/>
  <c r="B1055" i="4"/>
  <c r="U1054" i="4"/>
  <c r="K1054" i="4"/>
  <c r="E1054" i="4"/>
  <c r="B1054" i="4"/>
  <c r="U1053" i="4"/>
  <c r="K1053" i="4"/>
  <c r="E1053" i="4"/>
  <c r="B1053" i="4"/>
  <c r="U1052" i="4"/>
  <c r="K1052" i="4"/>
  <c r="E1052" i="4"/>
  <c r="B1052" i="4"/>
  <c r="U1051" i="4"/>
  <c r="K1051" i="4"/>
  <c r="E1051" i="4"/>
  <c r="B1051" i="4"/>
  <c r="U1050" i="4"/>
  <c r="K1050" i="4"/>
  <c r="E1050" i="4"/>
  <c r="B1050" i="4"/>
  <c r="U1049" i="4"/>
  <c r="K1049" i="4"/>
  <c r="E1049" i="4"/>
  <c r="B1049" i="4"/>
  <c r="U1048" i="4"/>
  <c r="K1048" i="4"/>
  <c r="E1048" i="4"/>
  <c r="B1048" i="4"/>
  <c r="U1047" i="4"/>
  <c r="K1047" i="4"/>
  <c r="E1047" i="4"/>
  <c r="B1047" i="4"/>
  <c r="U1046" i="4"/>
  <c r="K1046" i="4"/>
  <c r="E1046" i="4"/>
  <c r="B1046" i="4"/>
  <c r="U1045" i="4"/>
  <c r="K1045" i="4"/>
  <c r="E1045" i="4"/>
  <c r="B1045" i="4"/>
  <c r="U1044" i="4"/>
  <c r="K1044" i="4"/>
  <c r="E1044" i="4"/>
  <c r="B1044" i="4"/>
  <c r="U1043" i="4"/>
  <c r="K1043" i="4"/>
  <c r="E1043" i="4"/>
  <c r="B1043" i="4"/>
  <c r="U1042" i="4"/>
  <c r="K1042" i="4"/>
  <c r="E1042" i="4"/>
  <c r="B1042" i="4"/>
  <c r="U1041" i="4"/>
  <c r="K1041" i="4"/>
  <c r="E1041" i="4"/>
  <c r="B1041" i="4"/>
  <c r="U1040" i="4"/>
  <c r="K1040" i="4"/>
  <c r="E1040" i="4"/>
  <c r="B1040" i="4"/>
  <c r="U1039" i="4"/>
  <c r="K1039" i="4"/>
  <c r="E1039" i="4"/>
  <c r="B1039" i="4"/>
  <c r="U1038" i="4"/>
  <c r="K1038" i="4"/>
  <c r="E1038" i="4"/>
  <c r="B1038" i="4"/>
  <c r="U1037" i="4"/>
  <c r="K1037" i="4"/>
  <c r="E1037" i="4"/>
  <c r="B1037" i="4"/>
  <c r="U1036" i="4"/>
  <c r="K1036" i="4"/>
  <c r="E1036" i="4"/>
  <c r="B1036" i="4"/>
  <c r="U1035" i="4"/>
  <c r="K1035" i="4"/>
  <c r="E1035" i="4"/>
  <c r="B1035" i="4"/>
  <c r="U1034" i="4"/>
  <c r="K1034" i="4"/>
  <c r="E1034" i="4"/>
  <c r="B1034" i="4"/>
  <c r="U1033" i="4"/>
  <c r="K1033" i="4"/>
  <c r="E1033" i="4"/>
  <c r="B1033" i="4"/>
  <c r="U1032" i="4"/>
  <c r="K1032" i="4"/>
  <c r="E1032" i="4"/>
  <c r="B1032" i="4"/>
  <c r="U1031" i="4"/>
  <c r="K1031" i="4"/>
  <c r="E1031" i="4"/>
  <c r="B1031" i="4"/>
  <c r="U1030" i="4"/>
  <c r="K1030" i="4"/>
  <c r="E1030" i="4"/>
  <c r="B1030" i="4"/>
  <c r="U1029" i="4"/>
  <c r="K1029" i="4"/>
  <c r="E1029" i="4"/>
  <c r="B1029" i="4"/>
  <c r="U1028" i="4"/>
  <c r="K1028" i="4"/>
  <c r="E1028" i="4"/>
  <c r="B1028" i="4"/>
  <c r="U1027" i="4"/>
  <c r="K1027" i="4"/>
  <c r="E1027" i="4"/>
  <c r="B1027" i="4"/>
  <c r="U1026" i="4"/>
  <c r="K1026" i="4"/>
  <c r="E1026" i="4"/>
  <c r="B1026" i="4"/>
  <c r="U1025" i="4"/>
  <c r="K1025" i="4"/>
  <c r="E1025" i="4"/>
  <c r="B1025" i="4"/>
  <c r="U1024" i="4"/>
  <c r="K1024" i="4"/>
  <c r="E1024" i="4"/>
  <c r="B1024" i="4"/>
  <c r="U1023" i="4"/>
  <c r="K1023" i="4"/>
  <c r="E1023" i="4"/>
  <c r="B1023" i="4"/>
  <c r="U1022" i="4"/>
  <c r="K1022" i="4"/>
  <c r="E1022" i="4"/>
  <c r="B1022" i="4"/>
  <c r="U1021" i="4"/>
  <c r="K1021" i="4"/>
  <c r="E1021" i="4"/>
  <c r="B1021" i="4"/>
  <c r="U1020" i="4"/>
  <c r="K1020" i="4"/>
  <c r="E1020" i="4"/>
  <c r="B1020" i="4"/>
  <c r="U1019" i="4"/>
  <c r="K1019" i="4"/>
  <c r="E1019" i="4"/>
  <c r="B1019" i="4"/>
  <c r="U1018" i="4"/>
  <c r="K1018" i="4"/>
  <c r="E1018" i="4"/>
  <c r="B1018" i="4"/>
  <c r="U1017" i="4"/>
  <c r="K1017" i="4"/>
  <c r="E1017" i="4"/>
  <c r="B1017" i="4"/>
  <c r="U1016" i="4"/>
  <c r="K1016" i="4"/>
  <c r="E1016" i="4"/>
  <c r="B1016" i="4"/>
  <c r="U1015" i="4"/>
  <c r="K1015" i="4"/>
  <c r="E1015" i="4"/>
  <c r="B1015" i="4"/>
  <c r="U1014" i="4"/>
  <c r="K1014" i="4"/>
  <c r="E1014" i="4"/>
  <c r="B1014" i="4"/>
  <c r="U1013" i="4"/>
  <c r="K1013" i="4"/>
  <c r="E1013" i="4"/>
  <c r="B1013" i="4"/>
  <c r="U1012" i="4"/>
  <c r="K1012" i="4"/>
  <c r="E1012" i="4"/>
  <c r="B1012" i="4"/>
  <c r="U1011" i="4"/>
  <c r="K1011" i="4"/>
  <c r="E1011" i="4"/>
  <c r="B1011" i="4"/>
  <c r="U1010" i="4"/>
  <c r="K1010" i="4"/>
  <c r="H1010" i="4"/>
  <c r="E1010" i="4"/>
  <c r="B1010" i="4"/>
  <c r="U1009" i="4"/>
  <c r="K1009" i="4"/>
  <c r="E1009" i="4"/>
  <c r="B1009" i="4"/>
  <c r="U1008" i="4"/>
  <c r="K1008" i="4"/>
  <c r="E1008" i="4"/>
  <c r="B1008" i="4"/>
  <c r="U1007" i="4"/>
  <c r="K1007" i="4"/>
  <c r="E1007" i="4"/>
  <c r="B1007" i="4"/>
  <c r="U1006" i="4"/>
  <c r="K1006" i="4"/>
  <c r="E1006" i="4"/>
  <c r="B1006" i="4"/>
  <c r="U1005" i="4"/>
  <c r="K1005" i="4"/>
  <c r="E1005" i="4"/>
  <c r="B1005" i="4"/>
  <c r="U1004" i="4"/>
  <c r="K1004" i="4"/>
  <c r="E1004" i="4"/>
  <c r="B1004" i="4"/>
  <c r="U1003" i="4"/>
  <c r="K1003" i="4"/>
  <c r="E1003" i="4"/>
  <c r="B1003" i="4"/>
  <c r="U1002" i="4"/>
  <c r="K1002" i="4"/>
  <c r="E1002" i="4"/>
  <c r="B1002" i="4"/>
  <c r="U1001" i="4"/>
  <c r="K1001" i="4"/>
  <c r="E1001" i="4"/>
  <c r="B1001" i="4"/>
  <c r="U1000" i="4"/>
  <c r="K1000" i="4"/>
  <c r="E1000" i="4"/>
  <c r="B1000" i="4"/>
  <c r="U999" i="4"/>
  <c r="K999" i="4"/>
  <c r="E999" i="4"/>
  <c r="B999" i="4"/>
  <c r="U998" i="4"/>
  <c r="K998" i="4"/>
  <c r="E998" i="4"/>
  <c r="B998" i="4"/>
  <c r="U997" i="4"/>
  <c r="K997" i="4"/>
  <c r="E997" i="4"/>
  <c r="B997" i="4"/>
  <c r="U996" i="4"/>
  <c r="K996" i="4"/>
  <c r="E996" i="4"/>
  <c r="B996" i="4"/>
  <c r="U995" i="4"/>
  <c r="K995" i="4"/>
  <c r="E995" i="4"/>
  <c r="B995" i="4"/>
  <c r="U994" i="4"/>
  <c r="K994" i="4"/>
  <c r="E994" i="4"/>
  <c r="B994" i="4"/>
  <c r="U993" i="4"/>
  <c r="K993" i="4"/>
  <c r="E993" i="4"/>
  <c r="B993" i="4"/>
  <c r="U992" i="4"/>
  <c r="K992" i="4"/>
  <c r="E992" i="4"/>
  <c r="B992" i="4"/>
  <c r="U991" i="4"/>
  <c r="K991" i="4"/>
  <c r="E991" i="4"/>
  <c r="B991" i="4"/>
  <c r="U990" i="4"/>
  <c r="K990" i="4"/>
  <c r="E990" i="4"/>
  <c r="B990" i="4"/>
  <c r="U989" i="4"/>
  <c r="K989" i="4"/>
  <c r="E989" i="4"/>
  <c r="B989" i="4"/>
  <c r="U988" i="4"/>
  <c r="K988" i="4"/>
  <c r="E988" i="4"/>
  <c r="B988" i="4"/>
  <c r="U987" i="4"/>
  <c r="K987" i="4"/>
  <c r="E987" i="4"/>
  <c r="B987" i="4"/>
  <c r="U986" i="4"/>
  <c r="K986" i="4"/>
  <c r="E986" i="4"/>
  <c r="B986" i="4"/>
  <c r="U985" i="4"/>
  <c r="K985" i="4"/>
  <c r="E985" i="4"/>
  <c r="B985" i="4"/>
  <c r="U984" i="4"/>
  <c r="K984" i="4"/>
  <c r="E984" i="4"/>
  <c r="B984" i="4"/>
  <c r="U983" i="4"/>
  <c r="K983" i="4"/>
  <c r="E983" i="4"/>
  <c r="B983" i="4"/>
  <c r="U982" i="4"/>
  <c r="K982" i="4"/>
  <c r="E982" i="4"/>
  <c r="B982" i="4"/>
  <c r="U981" i="4"/>
  <c r="K981" i="4"/>
  <c r="E981" i="4"/>
  <c r="B981" i="4"/>
  <c r="U980" i="4"/>
  <c r="K980" i="4"/>
  <c r="E980" i="4"/>
  <c r="B980" i="4"/>
  <c r="U979" i="4"/>
  <c r="K979" i="4"/>
  <c r="E979" i="4"/>
  <c r="B979" i="4"/>
  <c r="U978" i="4"/>
  <c r="K978" i="4"/>
  <c r="E978" i="4"/>
  <c r="B978" i="4"/>
  <c r="U977" i="4"/>
  <c r="K977" i="4"/>
  <c r="E977" i="4"/>
  <c r="B977" i="4"/>
  <c r="U976" i="4"/>
  <c r="K976" i="4"/>
  <c r="E976" i="4"/>
  <c r="B976" i="4"/>
  <c r="U975" i="4"/>
  <c r="K975" i="4"/>
  <c r="E975" i="4"/>
  <c r="B975" i="4"/>
  <c r="U974" i="4"/>
  <c r="K974" i="4"/>
  <c r="E974" i="4"/>
  <c r="B974" i="4"/>
  <c r="U973" i="4"/>
  <c r="K973" i="4"/>
  <c r="E973" i="4"/>
  <c r="B973" i="4"/>
  <c r="U972" i="4"/>
  <c r="K972" i="4"/>
  <c r="E972" i="4"/>
  <c r="B972" i="4"/>
  <c r="U971" i="4"/>
  <c r="K971" i="4"/>
  <c r="E971" i="4"/>
  <c r="B971" i="4"/>
  <c r="U970" i="4"/>
  <c r="K970" i="4"/>
  <c r="E970" i="4"/>
  <c r="B970" i="4"/>
  <c r="U969" i="4"/>
  <c r="K969" i="4"/>
  <c r="E969" i="4"/>
  <c r="B969" i="4"/>
  <c r="U968" i="4"/>
  <c r="K968" i="4"/>
  <c r="E968" i="4"/>
  <c r="B968" i="4"/>
  <c r="U967" i="4"/>
  <c r="K967" i="4"/>
  <c r="E967" i="4"/>
  <c r="B967" i="4"/>
  <c r="U966" i="4"/>
  <c r="K966" i="4"/>
  <c r="E966" i="4"/>
  <c r="B966" i="4"/>
  <c r="U965" i="4"/>
  <c r="K965" i="4"/>
  <c r="E965" i="4"/>
  <c r="B965" i="4"/>
  <c r="U964" i="4"/>
  <c r="K964" i="4"/>
  <c r="E964" i="4"/>
  <c r="B964" i="4"/>
  <c r="U963" i="4"/>
  <c r="K963" i="4"/>
  <c r="E963" i="4"/>
  <c r="B963" i="4"/>
  <c r="U962" i="4"/>
  <c r="K962" i="4"/>
  <c r="E962" i="4"/>
  <c r="B962" i="4"/>
  <c r="U961" i="4"/>
  <c r="K961" i="4"/>
  <c r="E961" i="4"/>
  <c r="B961" i="4"/>
  <c r="U960" i="4"/>
  <c r="K960" i="4"/>
  <c r="E960" i="4"/>
  <c r="B960" i="4"/>
  <c r="U959" i="4"/>
  <c r="K959" i="4"/>
  <c r="E959" i="4"/>
  <c r="B959" i="4"/>
  <c r="U958" i="4"/>
  <c r="K958" i="4"/>
  <c r="E958" i="4"/>
  <c r="B958" i="4"/>
  <c r="U957" i="4"/>
  <c r="K957" i="4"/>
  <c r="E957" i="4"/>
  <c r="B957" i="4"/>
  <c r="U956" i="4"/>
  <c r="K956" i="4"/>
  <c r="E956" i="4"/>
  <c r="B956" i="4"/>
  <c r="U955" i="4"/>
  <c r="K955" i="4"/>
  <c r="E955" i="4"/>
  <c r="B955" i="4"/>
  <c r="U954" i="4"/>
  <c r="K954" i="4"/>
  <c r="E954" i="4"/>
  <c r="B954" i="4"/>
  <c r="U953" i="4"/>
  <c r="K953" i="4"/>
  <c r="E953" i="4"/>
  <c r="B953" i="4"/>
  <c r="U952" i="4"/>
  <c r="K952" i="4"/>
  <c r="E952" i="4"/>
  <c r="B952" i="4"/>
  <c r="U951" i="4"/>
  <c r="K951" i="4"/>
  <c r="E951" i="4"/>
  <c r="B951" i="4"/>
  <c r="U950" i="4"/>
  <c r="K950" i="4"/>
  <c r="E950" i="4"/>
  <c r="B950" i="4"/>
  <c r="U949" i="4"/>
  <c r="K949" i="4"/>
  <c r="E949" i="4"/>
  <c r="B949" i="4"/>
  <c r="U948" i="4"/>
  <c r="K948" i="4"/>
  <c r="E948" i="4"/>
  <c r="B948" i="4"/>
  <c r="U947" i="4"/>
  <c r="K947" i="4"/>
  <c r="E947" i="4"/>
  <c r="B947" i="4"/>
  <c r="U946" i="4"/>
  <c r="K946" i="4"/>
  <c r="E946" i="4"/>
  <c r="B946" i="4"/>
  <c r="U945" i="4"/>
  <c r="K945" i="4"/>
  <c r="E945" i="4"/>
  <c r="B945" i="4"/>
  <c r="U944" i="4"/>
  <c r="K944" i="4"/>
  <c r="E944" i="4"/>
  <c r="B944" i="4"/>
  <c r="U943" i="4"/>
  <c r="K943" i="4"/>
  <c r="E943" i="4"/>
  <c r="B943" i="4"/>
  <c r="U942" i="4"/>
  <c r="K942" i="4"/>
  <c r="E942" i="4"/>
  <c r="B942" i="4"/>
  <c r="U941" i="4"/>
  <c r="K941" i="4"/>
  <c r="E941" i="4"/>
  <c r="B941" i="4"/>
  <c r="U940" i="4"/>
  <c r="K940" i="4"/>
  <c r="E940" i="4"/>
  <c r="B940" i="4"/>
  <c r="U939" i="4"/>
  <c r="K939" i="4"/>
  <c r="E939" i="4"/>
  <c r="B939" i="4"/>
  <c r="U938" i="4"/>
  <c r="K938" i="4"/>
  <c r="E938" i="4"/>
  <c r="B938" i="4"/>
  <c r="U937" i="4"/>
  <c r="K937" i="4"/>
  <c r="E937" i="4"/>
  <c r="B937" i="4"/>
  <c r="U936" i="4"/>
  <c r="K936" i="4"/>
  <c r="E936" i="4"/>
  <c r="B936" i="4"/>
  <c r="U935" i="4"/>
  <c r="K935" i="4"/>
  <c r="E935" i="4"/>
  <c r="B935" i="4"/>
  <c r="U934" i="4"/>
  <c r="K934" i="4"/>
  <c r="E934" i="4"/>
  <c r="B934" i="4"/>
  <c r="U933" i="4"/>
  <c r="K933" i="4"/>
  <c r="E933" i="4"/>
  <c r="B933" i="4"/>
  <c r="U932" i="4"/>
  <c r="K932" i="4"/>
  <c r="E932" i="4"/>
  <c r="B932" i="4"/>
  <c r="U931" i="4"/>
  <c r="K931" i="4"/>
  <c r="E931" i="4"/>
  <c r="B931" i="4"/>
  <c r="U930" i="4"/>
  <c r="K930" i="4"/>
  <c r="E930" i="4"/>
  <c r="B930" i="4"/>
  <c r="U929" i="4"/>
  <c r="K929" i="4"/>
  <c r="E929" i="4"/>
  <c r="B929" i="4"/>
  <c r="U928" i="4"/>
  <c r="K928" i="4"/>
  <c r="E928" i="4"/>
  <c r="B928" i="4"/>
  <c r="U927" i="4"/>
  <c r="K927" i="4"/>
  <c r="E927" i="4"/>
  <c r="B927" i="4"/>
  <c r="U926" i="4"/>
  <c r="K926" i="4"/>
  <c r="E926" i="4"/>
  <c r="B926" i="4"/>
  <c r="U925" i="4"/>
  <c r="K925" i="4"/>
  <c r="E925" i="4"/>
  <c r="B925" i="4"/>
  <c r="U924" i="4"/>
  <c r="K924" i="4"/>
  <c r="E924" i="4"/>
  <c r="B924" i="4"/>
  <c r="U923" i="4"/>
  <c r="K923" i="4"/>
  <c r="E923" i="4"/>
  <c r="B923" i="4"/>
  <c r="U922" i="4"/>
  <c r="K922" i="4"/>
  <c r="E922" i="4"/>
  <c r="B922" i="4"/>
  <c r="U921" i="4"/>
  <c r="K921" i="4"/>
  <c r="E921" i="4"/>
  <c r="B921" i="4"/>
  <c r="U920" i="4"/>
  <c r="K920" i="4"/>
  <c r="E920" i="4"/>
  <c r="B920" i="4"/>
  <c r="U919" i="4"/>
  <c r="K919" i="4"/>
  <c r="E919" i="4"/>
  <c r="B919" i="4"/>
  <c r="U918" i="4"/>
  <c r="K918" i="4"/>
  <c r="E918" i="4"/>
  <c r="B918" i="4"/>
  <c r="U917" i="4"/>
  <c r="K917" i="4"/>
  <c r="E917" i="4"/>
  <c r="B917" i="4"/>
  <c r="U916" i="4"/>
  <c r="K916" i="4"/>
  <c r="E916" i="4"/>
  <c r="B916" i="4"/>
  <c r="U915" i="4"/>
  <c r="K915" i="4"/>
  <c r="E915" i="4"/>
  <c r="B915" i="4"/>
  <c r="U914" i="4"/>
  <c r="K914" i="4"/>
  <c r="E914" i="4"/>
  <c r="B914" i="4"/>
  <c r="U913" i="4"/>
  <c r="K913" i="4"/>
  <c r="E913" i="4"/>
  <c r="B913" i="4"/>
  <c r="U912" i="4"/>
  <c r="K912" i="4"/>
  <c r="E912" i="4"/>
  <c r="B912" i="4"/>
  <c r="U911" i="4"/>
  <c r="K911" i="4"/>
  <c r="E911" i="4"/>
  <c r="B911" i="4"/>
  <c r="U910" i="4"/>
  <c r="K910" i="4"/>
  <c r="E910" i="4"/>
  <c r="B910" i="4"/>
  <c r="U909" i="4"/>
  <c r="K909" i="4"/>
  <c r="E909" i="4"/>
  <c r="B909" i="4"/>
  <c r="U908" i="4"/>
  <c r="K908" i="4"/>
  <c r="E908" i="4"/>
  <c r="B908" i="4"/>
  <c r="U907" i="4"/>
  <c r="K907" i="4"/>
  <c r="E907" i="4"/>
  <c r="B907" i="4"/>
  <c r="U906" i="4"/>
  <c r="K906" i="4"/>
  <c r="E906" i="4"/>
  <c r="B906" i="4"/>
  <c r="U905" i="4"/>
  <c r="K905" i="4"/>
  <c r="E905" i="4"/>
  <c r="B905" i="4"/>
  <c r="U904" i="4"/>
  <c r="K904" i="4"/>
  <c r="E904" i="4"/>
  <c r="B904" i="4"/>
  <c r="U903" i="4"/>
  <c r="K903" i="4"/>
  <c r="E903" i="4"/>
  <c r="B903" i="4"/>
  <c r="U902" i="4"/>
  <c r="K902" i="4"/>
  <c r="E902" i="4"/>
  <c r="B902" i="4"/>
  <c r="U901" i="4"/>
  <c r="K901" i="4"/>
  <c r="E901" i="4"/>
  <c r="B901" i="4"/>
  <c r="U900" i="4"/>
  <c r="K900" i="4"/>
  <c r="E900" i="4"/>
  <c r="B900" i="4"/>
  <c r="U899" i="4"/>
  <c r="K899" i="4"/>
  <c r="E899" i="4"/>
  <c r="B899" i="4"/>
  <c r="U898" i="4"/>
  <c r="K898" i="4"/>
  <c r="E898" i="4"/>
  <c r="B898" i="4"/>
  <c r="U897" i="4"/>
  <c r="K897" i="4"/>
  <c r="E897" i="4"/>
  <c r="B897" i="4"/>
  <c r="U896" i="4"/>
  <c r="K896" i="4"/>
  <c r="E896" i="4"/>
  <c r="B896" i="4"/>
  <c r="U895" i="4"/>
  <c r="K895" i="4"/>
  <c r="E895" i="4"/>
  <c r="B895" i="4"/>
  <c r="U894" i="4"/>
  <c r="K894" i="4"/>
  <c r="E894" i="4"/>
  <c r="B894" i="4"/>
  <c r="U893" i="4"/>
  <c r="K893" i="4"/>
  <c r="E893" i="4"/>
  <c r="B893" i="4"/>
  <c r="U892" i="4"/>
  <c r="K892" i="4"/>
  <c r="E892" i="4"/>
  <c r="B892" i="4"/>
  <c r="U891" i="4"/>
  <c r="K891" i="4"/>
  <c r="E891" i="4"/>
  <c r="B891" i="4"/>
  <c r="U890" i="4"/>
  <c r="K890" i="4"/>
  <c r="E890" i="4"/>
  <c r="B890" i="4"/>
  <c r="U889" i="4"/>
  <c r="K889" i="4"/>
  <c r="E889" i="4"/>
  <c r="B889" i="4"/>
  <c r="U888" i="4"/>
  <c r="K888" i="4"/>
  <c r="E888" i="4"/>
  <c r="B888" i="4"/>
  <c r="U887" i="4"/>
  <c r="K887" i="4"/>
  <c r="E887" i="4"/>
  <c r="B887" i="4"/>
  <c r="U886" i="4"/>
  <c r="K886" i="4"/>
  <c r="E886" i="4"/>
  <c r="B886" i="4"/>
  <c r="U885" i="4"/>
  <c r="K885" i="4"/>
  <c r="E885" i="4"/>
  <c r="B885" i="4"/>
  <c r="U884" i="4"/>
  <c r="K884" i="4"/>
  <c r="E884" i="4"/>
  <c r="B884" i="4"/>
  <c r="U883" i="4"/>
  <c r="K883" i="4"/>
  <c r="E883" i="4"/>
  <c r="B883" i="4"/>
  <c r="U882" i="4"/>
  <c r="K882" i="4"/>
  <c r="E882" i="4"/>
  <c r="B882" i="4"/>
  <c r="U881" i="4"/>
  <c r="K881" i="4"/>
  <c r="E881" i="4"/>
  <c r="B881" i="4"/>
  <c r="U880" i="4"/>
  <c r="K880" i="4"/>
  <c r="E880" i="4"/>
  <c r="B880" i="4"/>
  <c r="U879" i="4"/>
  <c r="K879" i="4"/>
  <c r="E879" i="4"/>
  <c r="B879" i="4"/>
  <c r="U878" i="4"/>
  <c r="K878" i="4"/>
  <c r="E878" i="4"/>
  <c r="B878" i="4"/>
  <c r="U877" i="4"/>
  <c r="K877" i="4"/>
  <c r="E877" i="4"/>
  <c r="B877" i="4"/>
  <c r="U876" i="4"/>
  <c r="K876" i="4"/>
  <c r="E876" i="4"/>
  <c r="B876" i="4"/>
  <c r="U875" i="4"/>
  <c r="K875" i="4"/>
  <c r="E875" i="4"/>
  <c r="B875" i="4"/>
  <c r="U874" i="4"/>
  <c r="K874" i="4"/>
  <c r="E874" i="4"/>
  <c r="B874" i="4"/>
  <c r="U873" i="4"/>
  <c r="K873" i="4"/>
  <c r="E873" i="4"/>
  <c r="B873" i="4"/>
  <c r="U872" i="4"/>
  <c r="K872" i="4"/>
  <c r="E872" i="4"/>
  <c r="B872" i="4"/>
  <c r="U871" i="4"/>
  <c r="K871" i="4"/>
  <c r="E871" i="4"/>
  <c r="B871" i="4"/>
  <c r="U870" i="4"/>
  <c r="K870" i="4"/>
  <c r="E870" i="4"/>
  <c r="B870" i="4"/>
  <c r="U869" i="4"/>
  <c r="K869" i="4"/>
  <c r="E869" i="4"/>
  <c r="B869" i="4"/>
  <c r="U868" i="4"/>
  <c r="K868" i="4"/>
  <c r="E868" i="4"/>
  <c r="B868" i="4"/>
  <c r="U867" i="4"/>
  <c r="K867" i="4"/>
  <c r="E867" i="4"/>
  <c r="B867" i="4"/>
  <c r="U866" i="4"/>
  <c r="K866" i="4"/>
  <c r="E866" i="4"/>
  <c r="B866" i="4"/>
  <c r="U865" i="4"/>
  <c r="K865" i="4"/>
  <c r="E865" i="4"/>
  <c r="B865" i="4"/>
  <c r="U864" i="4"/>
  <c r="K864" i="4"/>
  <c r="E864" i="4"/>
  <c r="B864" i="4"/>
  <c r="U863" i="4"/>
  <c r="K863" i="4"/>
  <c r="E863" i="4"/>
  <c r="B863" i="4"/>
  <c r="U862" i="4"/>
  <c r="K862" i="4"/>
  <c r="E862" i="4"/>
  <c r="B862" i="4"/>
  <c r="U861" i="4"/>
  <c r="K861" i="4"/>
  <c r="E861" i="4"/>
  <c r="B861" i="4"/>
  <c r="U860" i="4"/>
  <c r="K860" i="4"/>
  <c r="E860" i="4"/>
  <c r="B860" i="4"/>
  <c r="U859" i="4"/>
  <c r="K859" i="4"/>
  <c r="E859" i="4"/>
  <c r="B859" i="4"/>
  <c r="U858" i="4"/>
  <c r="K858" i="4"/>
  <c r="E858" i="4"/>
  <c r="B858" i="4"/>
  <c r="U857" i="4"/>
  <c r="K857" i="4"/>
  <c r="E857" i="4"/>
  <c r="B857" i="4"/>
  <c r="U856" i="4"/>
  <c r="K856" i="4"/>
  <c r="E856" i="4"/>
  <c r="B856" i="4"/>
  <c r="K855" i="4"/>
  <c r="E855" i="4"/>
  <c r="B855" i="4"/>
  <c r="U854" i="4"/>
  <c r="K854" i="4"/>
  <c r="E854" i="4"/>
  <c r="B854" i="4"/>
  <c r="U853" i="4"/>
  <c r="K853" i="4"/>
  <c r="E853" i="4"/>
  <c r="B853" i="4"/>
  <c r="U852" i="4"/>
  <c r="K852" i="4"/>
  <c r="E852" i="4"/>
  <c r="B852" i="4"/>
  <c r="U851" i="4"/>
  <c r="K851" i="4"/>
  <c r="E851" i="4"/>
  <c r="B851" i="4"/>
  <c r="U850" i="4"/>
  <c r="K850" i="4"/>
  <c r="E850" i="4"/>
  <c r="B850" i="4"/>
  <c r="U849" i="4"/>
  <c r="K849" i="4"/>
  <c r="E849" i="4"/>
  <c r="B849" i="4"/>
  <c r="U848" i="4"/>
  <c r="K848" i="4"/>
  <c r="E848" i="4"/>
  <c r="B848" i="4"/>
  <c r="U847" i="4"/>
  <c r="K847" i="4"/>
  <c r="E847" i="4"/>
  <c r="B847" i="4"/>
  <c r="U846" i="4"/>
  <c r="K846" i="4"/>
  <c r="E846" i="4"/>
  <c r="B846" i="4"/>
  <c r="U845" i="4"/>
  <c r="K845" i="4"/>
  <c r="E845" i="4"/>
  <c r="B845" i="4"/>
  <c r="U844" i="4"/>
  <c r="K844" i="4"/>
  <c r="E844" i="4"/>
  <c r="B844" i="4"/>
  <c r="U843" i="4"/>
  <c r="K843" i="4"/>
  <c r="E843" i="4"/>
  <c r="B843" i="4"/>
  <c r="U842" i="4"/>
  <c r="K842" i="4"/>
  <c r="E842" i="4"/>
  <c r="B842" i="4"/>
  <c r="U841" i="4"/>
  <c r="K841" i="4"/>
  <c r="E841" i="4"/>
  <c r="B841" i="4"/>
  <c r="U840" i="4"/>
  <c r="K840" i="4"/>
  <c r="E840" i="4"/>
  <c r="B840" i="4"/>
  <c r="U839" i="4"/>
  <c r="K839" i="4"/>
  <c r="E839" i="4"/>
  <c r="B839" i="4"/>
  <c r="U838" i="4"/>
  <c r="K838" i="4"/>
  <c r="E838" i="4"/>
  <c r="B838" i="4"/>
  <c r="U837" i="4"/>
  <c r="K837" i="4"/>
  <c r="E837" i="4"/>
  <c r="B837" i="4"/>
  <c r="U836" i="4"/>
  <c r="K836" i="4"/>
  <c r="E836" i="4"/>
  <c r="B836" i="4"/>
  <c r="U835" i="4"/>
  <c r="K835" i="4"/>
  <c r="E835" i="4"/>
  <c r="B835" i="4"/>
  <c r="U834" i="4"/>
  <c r="K834" i="4"/>
  <c r="E834" i="4"/>
  <c r="B834" i="4"/>
  <c r="U833" i="4"/>
  <c r="K833" i="4"/>
  <c r="E833" i="4"/>
  <c r="B833" i="4"/>
  <c r="U832" i="4"/>
  <c r="K832" i="4"/>
  <c r="E832" i="4"/>
  <c r="B832" i="4"/>
  <c r="U831" i="4"/>
  <c r="K831" i="4"/>
  <c r="E831" i="4"/>
  <c r="B831" i="4"/>
  <c r="U830" i="4"/>
  <c r="K830" i="4"/>
  <c r="E830" i="4"/>
  <c r="B830" i="4"/>
  <c r="U829" i="4"/>
  <c r="K829" i="4"/>
  <c r="E829" i="4"/>
  <c r="B829" i="4"/>
  <c r="U828" i="4"/>
  <c r="K828" i="4"/>
  <c r="E828" i="4"/>
  <c r="B828" i="4"/>
  <c r="U827" i="4"/>
  <c r="K827" i="4"/>
  <c r="E827" i="4"/>
  <c r="B827" i="4"/>
  <c r="U826" i="4"/>
  <c r="K826" i="4"/>
  <c r="E826" i="4"/>
  <c r="B826" i="4"/>
  <c r="U825" i="4"/>
  <c r="K825" i="4"/>
  <c r="E825" i="4"/>
  <c r="B825" i="4"/>
  <c r="U824" i="4"/>
  <c r="K824" i="4"/>
  <c r="E824" i="4"/>
  <c r="B824" i="4"/>
  <c r="U823" i="4"/>
  <c r="K823" i="4"/>
  <c r="E823" i="4"/>
  <c r="B823" i="4"/>
  <c r="U822" i="4"/>
  <c r="K822" i="4"/>
  <c r="E822" i="4"/>
  <c r="B822" i="4"/>
  <c r="U821" i="4"/>
  <c r="K821" i="4"/>
  <c r="E821" i="4"/>
  <c r="B821" i="4"/>
  <c r="U820" i="4"/>
  <c r="K820" i="4"/>
  <c r="E820" i="4"/>
  <c r="B820" i="4"/>
  <c r="U819" i="4"/>
  <c r="K819" i="4"/>
  <c r="E819" i="4"/>
  <c r="B819" i="4"/>
  <c r="U818" i="4"/>
  <c r="K818" i="4"/>
  <c r="E818" i="4"/>
  <c r="B818" i="4"/>
  <c r="U817" i="4"/>
  <c r="K817" i="4"/>
  <c r="E817" i="4"/>
  <c r="B817" i="4"/>
  <c r="U816" i="4"/>
  <c r="K816" i="4"/>
  <c r="E816" i="4"/>
  <c r="B816" i="4"/>
  <c r="U815" i="4"/>
  <c r="K815" i="4"/>
  <c r="E815" i="4"/>
  <c r="B815" i="4"/>
  <c r="U814" i="4"/>
  <c r="K814" i="4"/>
  <c r="E814" i="4"/>
  <c r="B814" i="4"/>
  <c r="U813" i="4"/>
  <c r="K813" i="4"/>
  <c r="E813" i="4"/>
  <c r="B813" i="4"/>
  <c r="U812" i="4"/>
  <c r="K812" i="4"/>
  <c r="E812" i="4"/>
  <c r="B812" i="4"/>
  <c r="U811" i="4"/>
  <c r="K811" i="4"/>
  <c r="E811" i="4"/>
  <c r="B811" i="4"/>
  <c r="U810" i="4"/>
  <c r="K810" i="4"/>
  <c r="E810" i="4"/>
  <c r="B810" i="4"/>
  <c r="U809" i="4"/>
  <c r="K809" i="4"/>
  <c r="E809" i="4"/>
  <c r="B809" i="4"/>
  <c r="U808" i="4"/>
  <c r="K808" i="4"/>
  <c r="E808" i="4"/>
  <c r="B808" i="4"/>
  <c r="U807" i="4"/>
  <c r="K807" i="4"/>
  <c r="E807" i="4"/>
  <c r="B807" i="4"/>
  <c r="U806" i="4"/>
  <c r="K806" i="4"/>
  <c r="E806" i="4"/>
  <c r="B806" i="4"/>
  <c r="U805" i="4"/>
  <c r="K805" i="4"/>
  <c r="E805" i="4"/>
  <c r="B805" i="4"/>
  <c r="U804" i="4"/>
  <c r="K804" i="4"/>
  <c r="E804" i="4"/>
  <c r="B804" i="4"/>
  <c r="U803" i="4"/>
  <c r="K803" i="4"/>
  <c r="E803" i="4"/>
  <c r="B803" i="4"/>
  <c r="U802" i="4"/>
  <c r="K802" i="4"/>
  <c r="E802" i="4"/>
  <c r="B802" i="4"/>
  <c r="U801" i="4"/>
  <c r="K801" i="4"/>
  <c r="E801" i="4"/>
  <c r="B801" i="4"/>
  <c r="U800" i="4"/>
  <c r="K800" i="4"/>
  <c r="E800" i="4"/>
  <c r="B800" i="4"/>
  <c r="U799" i="4"/>
  <c r="K799" i="4"/>
  <c r="E799" i="4"/>
  <c r="B799" i="4"/>
  <c r="U798" i="4"/>
  <c r="K798" i="4"/>
  <c r="E798" i="4"/>
  <c r="B798" i="4"/>
  <c r="U797" i="4"/>
  <c r="K797" i="4"/>
  <c r="E797" i="4"/>
  <c r="B797" i="4"/>
  <c r="U796" i="4"/>
  <c r="K796" i="4"/>
  <c r="E796" i="4"/>
  <c r="B796" i="4"/>
  <c r="U795" i="4"/>
  <c r="K795" i="4"/>
  <c r="E795" i="4"/>
  <c r="B795" i="4"/>
  <c r="U794" i="4"/>
  <c r="K794" i="4"/>
  <c r="E794" i="4"/>
  <c r="B794" i="4"/>
  <c r="U793" i="4"/>
  <c r="K793" i="4"/>
  <c r="E793" i="4"/>
  <c r="B793" i="4"/>
  <c r="U792" i="4"/>
  <c r="K792" i="4"/>
  <c r="E792" i="4"/>
  <c r="B792" i="4"/>
  <c r="U791" i="4"/>
  <c r="K791" i="4"/>
  <c r="E791" i="4"/>
  <c r="B791" i="4"/>
  <c r="U790" i="4"/>
  <c r="K790" i="4"/>
  <c r="E790" i="4"/>
  <c r="B790" i="4"/>
  <c r="U789" i="4"/>
  <c r="K789" i="4"/>
  <c r="E789" i="4"/>
  <c r="B789" i="4"/>
  <c r="U788" i="4"/>
  <c r="K788" i="4"/>
  <c r="E788" i="4"/>
  <c r="B788" i="4"/>
  <c r="U787" i="4"/>
  <c r="K787" i="4"/>
  <c r="E787" i="4"/>
  <c r="B787" i="4"/>
  <c r="U786" i="4"/>
  <c r="K786" i="4"/>
  <c r="E786" i="4"/>
  <c r="B786" i="4"/>
  <c r="U785" i="4"/>
  <c r="K785" i="4"/>
  <c r="E785" i="4"/>
  <c r="B785" i="4"/>
  <c r="U784" i="4"/>
  <c r="K784" i="4"/>
  <c r="E784" i="4"/>
  <c r="B784" i="4"/>
  <c r="U783" i="4"/>
  <c r="K783" i="4"/>
  <c r="E783" i="4"/>
  <c r="B783" i="4"/>
  <c r="U782" i="4"/>
  <c r="K782" i="4"/>
  <c r="E782" i="4"/>
  <c r="B782" i="4"/>
  <c r="U781" i="4"/>
  <c r="K781" i="4"/>
  <c r="E781" i="4"/>
  <c r="B781" i="4"/>
  <c r="U780" i="4"/>
  <c r="K780" i="4"/>
  <c r="E780" i="4"/>
  <c r="B780" i="4"/>
  <c r="U779" i="4"/>
  <c r="K779" i="4"/>
  <c r="E779" i="4"/>
  <c r="B779" i="4"/>
  <c r="U778" i="4"/>
  <c r="K778" i="4"/>
  <c r="E778" i="4"/>
  <c r="B778" i="4"/>
  <c r="U777" i="4"/>
  <c r="K777" i="4"/>
  <c r="E777" i="4"/>
  <c r="B777" i="4"/>
  <c r="U776" i="4"/>
  <c r="K776" i="4"/>
  <c r="E776" i="4"/>
  <c r="B776" i="4"/>
  <c r="U775" i="4"/>
  <c r="K775" i="4"/>
  <c r="E775" i="4"/>
  <c r="B775" i="4"/>
  <c r="U774" i="4"/>
  <c r="K774" i="4"/>
  <c r="E774" i="4"/>
  <c r="B774" i="4"/>
  <c r="U773" i="4"/>
  <c r="K773" i="4"/>
  <c r="E773" i="4"/>
  <c r="B773" i="4"/>
  <c r="U772" i="4"/>
  <c r="K772" i="4"/>
  <c r="E772" i="4"/>
  <c r="B772" i="4"/>
  <c r="U771" i="4"/>
  <c r="K771" i="4"/>
  <c r="E771" i="4"/>
  <c r="B771" i="4"/>
  <c r="U770" i="4"/>
  <c r="K770" i="4"/>
  <c r="E770" i="4"/>
  <c r="B770" i="4"/>
  <c r="U769" i="4"/>
  <c r="K769" i="4"/>
  <c r="E769" i="4"/>
  <c r="B769" i="4"/>
  <c r="U768" i="4"/>
  <c r="K768" i="4"/>
  <c r="E768" i="4"/>
  <c r="B768" i="4"/>
  <c r="U767" i="4"/>
  <c r="K767" i="4"/>
  <c r="E767" i="4"/>
  <c r="B767" i="4"/>
  <c r="U766" i="4"/>
  <c r="K766" i="4"/>
  <c r="E766" i="4"/>
  <c r="B766" i="4"/>
  <c r="U765" i="4"/>
  <c r="K765" i="4"/>
  <c r="E765" i="4"/>
  <c r="B765" i="4"/>
  <c r="U764" i="4"/>
  <c r="K764" i="4"/>
  <c r="E764" i="4"/>
  <c r="B764" i="4"/>
  <c r="U763" i="4"/>
  <c r="K763" i="4"/>
  <c r="E763" i="4"/>
  <c r="B763" i="4"/>
  <c r="U762" i="4"/>
  <c r="K762" i="4"/>
  <c r="E762" i="4"/>
  <c r="B762" i="4"/>
  <c r="U761" i="4"/>
  <c r="K761" i="4"/>
  <c r="E761" i="4"/>
  <c r="B761" i="4"/>
  <c r="U760" i="4"/>
  <c r="K760" i="4"/>
  <c r="E760" i="4"/>
  <c r="B760" i="4"/>
  <c r="K759" i="4"/>
  <c r="E759" i="4"/>
  <c r="B759" i="4"/>
  <c r="U758" i="4"/>
  <c r="K758" i="4"/>
  <c r="E758" i="4"/>
  <c r="B758" i="4"/>
  <c r="U757" i="4"/>
  <c r="K757" i="4"/>
  <c r="E757" i="4"/>
  <c r="B757" i="4"/>
  <c r="U756" i="4"/>
  <c r="K756" i="4"/>
  <c r="E756" i="4"/>
  <c r="B756" i="4"/>
  <c r="U755" i="4"/>
  <c r="K755" i="4"/>
  <c r="E755" i="4"/>
  <c r="B755" i="4"/>
  <c r="U754" i="4"/>
  <c r="K754" i="4"/>
  <c r="E754" i="4"/>
  <c r="B754" i="4"/>
  <c r="U753" i="4"/>
  <c r="K753" i="4"/>
  <c r="E753" i="4"/>
  <c r="B753" i="4"/>
  <c r="U752" i="4"/>
  <c r="K752" i="4"/>
  <c r="E752" i="4"/>
  <c r="B752" i="4"/>
  <c r="U751" i="4"/>
  <c r="K751" i="4"/>
  <c r="E751" i="4"/>
  <c r="B751" i="4"/>
  <c r="U750" i="4"/>
  <c r="K750" i="4"/>
  <c r="E750" i="4"/>
  <c r="B750" i="4"/>
  <c r="U749" i="4"/>
  <c r="K749" i="4"/>
  <c r="E749" i="4"/>
  <c r="B749" i="4"/>
  <c r="U748" i="4"/>
  <c r="K748" i="4"/>
  <c r="E748" i="4"/>
  <c r="B748" i="4"/>
  <c r="U747" i="4"/>
  <c r="K747" i="4"/>
  <c r="E747" i="4"/>
  <c r="B747" i="4"/>
  <c r="U746" i="4"/>
  <c r="K746" i="4"/>
  <c r="E746" i="4"/>
  <c r="B746" i="4"/>
  <c r="U745" i="4"/>
  <c r="K745" i="4"/>
  <c r="E745" i="4"/>
  <c r="B745" i="4"/>
  <c r="U744" i="4"/>
  <c r="K744" i="4"/>
  <c r="E744" i="4"/>
  <c r="B744" i="4"/>
  <c r="U743" i="4"/>
  <c r="K743" i="4"/>
  <c r="E743" i="4"/>
  <c r="B743" i="4"/>
  <c r="U742" i="4"/>
  <c r="K742" i="4"/>
  <c r="E742" i="4"/>
  <c r="B742" i="4"/>
  <c r="U741" i="4"/>
  <c r="K741" i="4"/>
  <c r="E741" i="4"/>
  <c r="B741" i="4"/>
  <c r="U740" i="4"/>
  <c r="K740" i="4"/>
  <c r="E740" i="4"/>
  <c r="B740" i="4"/>
  <c r="U739" i="4"/>
  <c r="K739" i="4"/>
  <c r="E739" i="4"/>
  <c r="B739" i="4"/>
  <c r="U738" i="4"/>
  <c r="K738" i="4"/>
  <c r="E738" i="4"/>
  <c r="B738" i="4"/>
  <c r="U737" i="4"/>
  <c r="K737" i="4"/>
  <c r="E737" i="4"/>
  <c r="B737" i="4"/>
  <c r="U736" i="4"/>
  <c r="K736" i="4"/>
  <c r="E736" i="4"/>
  <c r="B736" i="4"/>
  <c r="U735" i="4"/>
  <c r="K735" i="4"/>
  <c r="E735" i="4"/>
  <c r="B735" i="4"/>
  <c r="U734" i="4"/>
  <c r="K734" i="4"/>
  <c r="E734" i="4"/>
  <c r="B734" i="4"/>
  <c r="U733" i="4"/>
  <c r="K733" i="4"/>
  <c r="E733" i="4"/>
  <c r="B733" i="4"/>
  <c r="U732" i="4"/>
  <c r="K732" i="4"/>
  <c r="E732" i="4"/>
  <c r="B732" i="4"/>
  <c r="U731" i="4"/>
  <c r="K731" i="4"/>
  <c r="E731" i="4"/>
  <c r="B731" i="4"/>
  <c r="U730" i="4"/>
  <c r="K730" i="4"/>
  <c r="E730" i="4"/>
  <c r="B730" i="4"/>
  <c r="U729" i="4"/>
  <c r="K729" i="4"/>
  <c r="E729" i="4"/>
  <c r="B729" i="4"/>
  <c r="U728" i="4"/>
  <c r="K728" i="4"/>
  <c r="E728" i="4"/>
  <c r="B728" i="4"/>
  <c r="U727" i="4"/>
  <c r="K727" i="4"/>
  <c r="E727" i="4"/>
  <c r="B727" i="4"/>
  <c r="U726" i="4"/>
  <c r="K726" i="4"/>
  <c r="E726" i="4"/>
  <c r="B726" i="4"/>
  <c r="U725" i="4"/>
  <c r="K725" i="4"/>
  <c r="E725" i="4"/>
  <c r="B725" i="4"/>
  <c r="U724" i="4"/>
  <c r="K724" i="4"/>
  <c r="E724" i="4"/>
  <c r="B724" i="4"/>
  <c r="U723" i="4"/>
  <c r="K723" i="4"/>
  <c r="E723" i="4"/>
  <c r="B723" i="4"/>
  <c r="U722" i="4"/>
  <c r="K722" i="4"/>
  <c r="E722" i="4"/>
  <c r="B722" i="4"/>
  <c r="U721" i="4"/>
  <c r="K721" i="4"/>
  <c r="E721" i="4"/>
  <c r="B721" i="4"/>
  <c r="U720" i="4"/>
  <c r="K720" i="4"/>
  <c r="E720" i="4"/>
  <c r="B720" i="4"/>
  <c r="U719" i="4"/>
  <c r="K719" i="4"/>
  <c r="E719" i="4"/>
  <c r="B719" i="4"/>
  <c r="U718" i="4"/>
  <c r="K718" i="4"/>
  <c r="E718" i="4"/>
  <c r="B718" i="4"/>
  <c r="U717" i="4"/>
  <c r="K717" i="4"/>
  <c r="E717" i="4"/>
  <c r="B717" i="4"/>
  <c r="U716" i="4"/>
  <c r="K716" i="4"/>
  <c r="E716" i="4"/>
  <c r="B716" i="4"/>
  <c r="U715" i="4"/>
  <c r="K715" i="4"/>
  <c r="E715" i="4"/>
  <c r="B715" i="4"/>
  <c r="U714" i="4"/>
  <c r="K714" i="4"/>
  <c r="E714" i="4"/>
  <c r="B714" i="4"/>
  <c r="U713" i="4"/>
  <c r="K713" i="4"/>
  <c r="E713" i="4"/>
  <c r="B713" i="4"/>
  <c r="U712" i="4"/>
  <c r="K712" i="4"/>
  <c r="E712" i="4"/>
  <c r="B712" i="4"/>
  <c r="U711" i="4"/>
  <c r="K711" i="4"/>
  <c r="E711" i="4"/>
  <c r="B711" i="4"/>
  <c r="U710" i="4"/>
  <c r="K710" i="4"/>
  <c r="E710" i="4"/>
  <c r="B710" i="4"/>
  <c r="U709" i="4"/>
  <c r="K709" i="4"/>
  <c r="E709" i="4"/>
  <c r="B709" i="4"/>
  <c r="U708" i="4"/>
  <c r="K708" i="4"/>
  <c r="E708" i="4"/>
  <c r="B708" i="4"/>
  <c r="U707" i="4"/>
  <c r="K707" i="4"/>
  <c r="E707" i="4"/>
  <c r="B707" i="4"/>
  <c r="U706" i="4"/>
  <c r="K706" i="4"/>
  <c r="E706" i="4"/>
  <c r="B706" i="4"/>
  <c r="U705" i="4"/>
  <c r="K705" i="4"/>
  <c r="E705" i="4"/>
  <c r="B705" i="4"/>
  <c r="U704" i="4"/>
  <c r="K704" i="4"/>
  <c r="E704" i="4"/>
  <c r="B704" i="4"/>
  <c r="U703" i="4"/>
  <c r="K703" i="4"/>
  <c r="E703" i="4"/>
  <c r="B703" i="4"/>
  <c r="U702" i="4"/>
  <c r="K702" i="4"/>
  <c r="E702" i="4"/>
  <c r="B702" i="4"/>
  <c r="U701" i="4"/>
  <c r="K701" i="4"/>
  <c r="E701" i="4"/>
  <c r="B701" i="4"/>
  <c r="U700" i="4"/>
  <c r="K700" i="4"/>
  <c r="E700" i="4"/>
  <c r="B700" i="4"/>
  <c r="U699" i="4"/>
  <c r="K699" i="4"/>
  <c r="E699" i="4"/>
  <c r="B699" i="4"/>
  <c r="U698" i="4"/>
  <c r="K698" i="4"/>
  <c r="E698" i="4"/>
  <c r="B698" i="4"/>
  <c r="U697" i="4"/>
  <c r="K697" i="4"/>
  <c r="E697" i="4"/>
  <c r="B697" i="4"/>
  <c r="U696" i="4"/>
  <c r="K696" i="4"/>
  <c r="E696" i="4"/>
  <c r="B696" i="4"/>
  <c r="U695" i="4"/>
  <c r="K695" i="4"/>
  <c r="E695" i="4"/>
  <c r="B695" i="4"/>
  <c r="U694" i="4"/>
  <c r="K694" i="4"/>
  <c r="E694" i="4"/>
  <c r="B694" i="4"/>
  <c r="U693" i="4"/>
  <c r="K693" i="4"/>
  <c r="E693" i="4"/>
  <c r="B693" i="4"/>
  <c r="U692" i="4"/>
  <c r="K692" i="4"/>
  <c r="E692" i="4"/>
  <c r="B692" i="4"/>
  <c r="U691" i="4"/>
  <c r="K691" i="4"/>
  <c r="E691" i="4"/>
  <c r="B691" i="4"/>
  <c r="U690" i="4"/>
  <c r="K690" i="4"/>
  <c r="E690" i="4"/>
  <c r="B690" i="4"/>
  <c r="U689" i="4"/>
  <c r="K689" i="4"/>
  <c r="E689" i="4"/>
  <c r="B689" i="4"/>
  <c r="U688" i="4"/>
  <c r="K688" i="4"/>
  <c r="E688" i="4"/>
  <c r="B688" i="4"/>
  <c r="U687" i="4"/>
  <c r="K687" i="4"/>
  <c r="E687" i="4"/>
  <c r="B687" i="4"/>
  <c r="U686" i="4"/>
  <c r="K686" i="4"/>
  <c r="E686" i="4"/>
  <c r="B686" i="4"/>
  <c r="U685" i="4"/>
  <c r="K685" i="4"/>
  <c r="E685" i="4"/>
  <c r="B685" i="4"/>
  <c r="U684" i="4"/>
  <c r="K684" i="4"/>
  <c r="E684" i="4"/>
  <c r="B684" i="4"/>
  <c r="U683" i="4"/>
  <c r="K683" i="4"/>
  <c r="E683" i="4"/>
  <c r="B683" i="4"/>
  <c r="U682" i="4"/>
  <c r="K682" i="4"/>
  <c r="E682" i="4"/>
  <c r="B682" i="4"/>
  <c r="U681" i="4"/>
  <c r="K681" i="4"/>
  <c r="E681" i="4"/>
  <c r="B681" i="4"/>
  <c r="U680" i="4"/>
  <c r="K680" i="4"/>
  <c r="E680" i="4"/>
  <c r="B680" i="4"/>
  <c r="U679" i="4"/>
  <c r="K679" i="4"/>
  <c r="E679" i="4"/>
  <c r="B679" i="4"/>
  <c r="U678" i="4"/>
  <c r="K678" i="4"/>
  <c r="E678" i="4"/>
  <c r="B678" i="4"/>
  <c r="U677" i="4"/>
  <c r="K677" i="4"/>
  <c r="E677" i="4"/>
  <c r="B677" i="4"/>
  <c r="U676" i="4"/>
  <c r="K676" i="4"/>
  <c r="E676" i="4"/>
  <c r="B676" i="4"/>
  <c r="U675" i="4"/>
  <c r="K675" i="4"/>
  <c r="E675" i="4"/>
  <c r="B675" i="4"/>
  <c r="U674" i="4"/>
  <c r="K674" i="4"/>
  <c r="E674" i="4"/>
  <c r="B674" i="4"/>
  <c r="U673" i="4"/>
  <c r="K673" i="4"/>
  <c r="E673" i="4"/>
  <c r="B673" i="4"/>
  <c r="U672" i="4"/>
  <c r="K672" i="4"/>
  <c r="E672" i="4"/>
  <c r="B672" i="4"/>
  <c r="U671" i="4"/>
  <c r="K671" i="4"/>
  <c r="E671" i="4"/>
  <c r="B671" i="4"/>
  <c r="U670" i="4"/>
  <c r="K670" i="4"/>
  <c r="E670" i="4"/>
  <c r="B670" i="4"/>
  <c r="U669" i="4"/>
  <c r="K669" i="4"/>
  <c r="E669" i="4"/>
  <c r="B669" i="4"/>
  <c r="U668" i="4"/>
  <c r="K668" i="4"/>
  <c r="E668" i="4"/>
  <c r="B668" i="4"/>
  <c r="U667" i="4"/>
  <c r="K667" i="4"/>
  <c r="E667" i="4"/>
  <c r="B667" i="4"/>
  <c r="U666" i="4"/>
  <c r="K666" i="4"/>
  <c r="E666" i="4"/>
  <c r="B666" i="4"/>
  <c r="U665" i="4"/>
  <c r="K665" i="4"/>
  <c r="E665" i="4"/>
  <c r="B665" i="4"/>
  <c r="U664" i="4"/>
  <c r="K664" i="4"/>
  <c r="E664" i="4"/>
  <c r="B664" i="4"/>
  <c r="U663" i="4"/>
  <c r="K663" i="4"/>
  <c r="E663" i="4"/>
  <c r="B663" i="4"/>
  <c r="U662" i="4"/>
  <c r="K662" i="4"/>
  <c r="E662" i="4"/>
  <c r="B662" i="4"/>
  <c r="U661" i="4"/>
  <c r="K661" i="4"/>
  <c r="E661" i="4"/>
  <c r="B661" i="4"/>
  <c r="U660" i="4"/>
  <c r="K660" i="4"/>
  <c r="E660" i="4"/>
  <c r="B660" i="4"/>
  <c r="U659" i="4"/>
  <c r="K659" i="4"/>
  <c r="E659" i="4"/>
  <c r="B659" i="4"/>
  <c r="U658" i="4"/>
  <c r="K658" i="4"/>
  <c r="E658" i="4"/>
  <c r="B658" i="4"/>
  <c r="U657" i="4"/>
  <c r="K657" i="4"/>
  <c r="E657" i="4"/>
  <c r="B657" i="4"/>
  <c r="U656" i="4"/>
  <c r="K656" i="4"/>
  <c r="E656" i="4"/>
  <c r="B656" i="4"/>
  <c r="U655" i="4"/>
  <c r="K655" i="4"/>
  <c r="E655" i="4"/>
  <c r="B655" i="4"/>
  <c r="U654" i="4"/>
  <c r="K654" i="4"/>
  <c r="E654" i="4"/>
  <c r="B654" i="4"/>
  <c r="U653" i="4"/>
  <c r="K653" i="4"/>
  <c r="E653" i="4"/>
  <c r="B653" i="4"/>
  <c r="U652" i="4"/>
  <c r="K652" i="4"/>
  <c r="E652" i="4"/>
  <c r="B652" i="4"/>
  <c r="U651" i="4"/>
  <c r="K651" i="4"/>
  <c r="E651" i="4"/>
  <c r="B651" i="4"/>
  <c r="U650" i="4"/>
  <c r="K650" i="4"/>
  <c r="E650" i="4"/>
  <c r="B650" i="4"/>
  <c r="U649" i="4"/>
  <c r="K649" i="4"/>
  <c r="E649" i="4"/>
  <c r="B649" i="4"/>
  <c r="U648" i="4"/>
  <c r="K648" i="4"/>
  <c r="E648" i="4"/>
  <c r="B648" i="4"/>
  <c r="U647" i="4"/>
  <c r="K647" i="4"/>
  <c r="E647" i="4"/>
  <c r="B647" i="4"/>
  <c r="U646" i="4"/>
  <c r="K646" i="4"/>
  <c r="E646" i="4"/>
  <c r="B646" i="4"/>
  <c r="U645" i="4"/>
  <c r="K645" i="4"/>
  <c r="E645" i="4"/>
  <c r="B645" i="4"/>
  <c r="U644" i="4"/>
  <c r="K644" i="4"/>
  <c r="E644" i="4"/>
  <c r="B644" i="4"/>
  <c r="U643" i="4"/>
  <c r="K643" i="4"/>
  <c r="E643" i="4"/>
  <c r="B643" i="4"/>
  <c r="U642" i="4"/>
  <c r="K642" i="4"/>
  <c r="E642" i="4"/>
  <c r="B642" i="4"/>
  <c r="U641" i="4"/>
  <c r="K641" i="4"/>
  <c r="E641" i="4"/>
  <c r="B641" i="4"/>
  <c r="U640" i="4"/>
  <c r="K640" i="4"/>
  <c r="E640" i="4"/>
  <c r="B640" i="4"/>
  <c r="U639" i="4"/>
  <c r="K639" i="4"/>
  <c r="E639" i="4"/>
  <c r="B639" i="4"/>
  <c r="K638" i="4"/>
  <c r="E638" i="4"/>
  <c r="B638" i="4"/>
  <c r="U637" i="4"/>
  <c r="K637" i="4"/>
  <c r="E637" i="4"/>
  <c r="B637" i="4"/>
  <c r="U636" i="4"/>
  <c r="K636" i="4"/>
  <c r="E636" i="4"/>
  <c r="B636" i="4"/>
  <c r="U635" i="4"/>
  <c r="K635" i="4"/>
  <c r="E635" i="4"/>
  <c r="B635" i="4"/>
  <c r="U634" i="4"/>
  <c r="K634" i="4"/>
  <c r="E634" i="4"/>
  <c r="B634" i="4"/>
  <c r="U633" i="4"/>
  <c r="K633" i="4"/>
  <c r="E633" i="4"/>
  <c r="B633" i="4"/>
  <c r="K632" i="4"/>
  <c r="E632" i="4"/>
  <c r="B632" i="4"/>
  <c r="U631" i="4"/>
  <c r="K631" i="4"/>
  <c r="E631" i="4"/>
  <c r="B631" i="4"/>
  <c r="U630" i="4"/>
  <c r="K630" i="4"/>
  <c r="E630" i="4"/>
  <c r="B630" i="4"/>
  <c r="U629" i="4"/>
  <c r="K629" i="4"/>
  <c r="E629" i="4"/>
  <c r="B629" i="4"/>
  <c r="U628" i="4"/>
  <c r="K628" i="4"/>
  <c r="E628" i="4"/>
  <c r="B628" i="4"/>
  <c r="U627" i="4"/>
  <c r="K627" i="4"/>
  <c r="E627" i="4"/>
  <c r="B627" i="4"/>
  <c r="U626" i="4"/>
  <c r="K626" i="4"/>
  <c r="E626" i="4"/>
  <c r="B626" i="4"/>
  <c r="U625" i="4"/>
  <c r="K625" i="4"/>
  <c r="E625" i="4"/>
  <c r="B625" i="4"/>
  <c r="U624" i="4"/>
  <c r="K624" i="4"/>
  <c r="E624" i="4"/>
  <c r="B624" i="4"/>
  <c r="U623" i="4"/>
  <c r="K623" i="4"/>
  <c r="E623" i="4"/>
  <c r="B623" i="4"/>
  <c r="U622" i="4"/>
  <c r="K622" i="4"/>
  <c r="E622" i="4"/>
  <c r="B622" i="4"/>
  <c r="U621" i="4"/>
  <c r="K621" i="4"/>
  <c r="E621" i="4"/>
  <c r="B621" i="4"/>
  <c r="U620" i="4"/>
  <c r="K620" i="4"/>
  <c r="E620" i="4"/>
  <c r="B620" i="4"/>
  <c r="U619" i="4"/>
  <c r="K619" i="4"/>
  <c r="E619" i="4"/>
  <c r="B619" i="4"/>
  <c r="U618" i="4"/>
  <c r="K618" i="4"/>
  <c r="E618" i="4"/>
  <c r="B618" i="4"/>
  <c r="U617" i="4"/>
  <c r="K617" i="4"/>
  <c r="E617" i="4"/>
  <c r="B617" i="4"/>
  <c r="U616" i="4"/>
  <c r="K616" i="4"/>
  <c r="E616" i="4"/>
  <c r="B616" i="4"/>
  <c r="U615" i="4"/>
  <c r="K615" i="4"/>
  <c r="E615" i="4"/>
  <c r="B615" i="4"/>
  <c r="U614" i="4"/>
  <c r="K614" i="4"/>
  <c r="E614" i="4"/>
  <c r="B614" i="4"/>
  <c r="U613" i="4"/>
  <c r="K613" i="4"/>
  <c r="E613" i="4"/>
  <c r="B613" i="4"/>
  <c r="U612" i="4"/>
  <c r="K612" i="4"/>
  <c r="E612" i="4"/>
  <c r="B612" i="4"/>
  <c r="U611" i="4"/>
  <c r="K611" i="4"/>
  <c r="E611" i="4"/>
  <c r="B611" i="4"/>
  <c r="U610" i="4"/>
  <c r="K610" i="4"/>
  <c r="E610" i="4"/>
  <c r="B610" i="4"/>
  <c r="U609" i="4"/>
  <c r="K609" i="4"/>
  <c r="E609" i="4"/>
  <c r="B609" i="4"/>
  <c r="U608" i="4"/>
  <c r="K608" i="4"/>
  <c r="E608" i="4"/>
  <c r="B608" i="4"/>
  <c r="U607" i="4"/>
  <c r="K607" i="4"/>
  <c r="E607" i="4"/>
  <c r="B607" i="4"/>
  <c r="U606" i="4"/>
  <c r="K606" i="4"/>
  <c r="E606" i="4"/>
  <c r="B606" i="4"/>
  <c r="U605" i="4"/>
  <c r="K605" i="4"/>
  <c r="E605" i="4"/>
  <c r="B605" i="4"/>
  <c r="U604" i="4"/>
  <c r="K604" i="4"/>
  <c r="E604" i="4"/>
  <c r="B604" i="4"/>
  <c r="U603" i="4"/>
  <c r="K603" i="4"/>
  <c r="E603" i="4"/>
  <c r="B603" i="4"/>
  <c r="U602" i="4"/>
  <c r="K602" i="4"/>
  <c r="E602" i="4"/>
  <c r="B602" i="4"/>
  <c r="U601" i="4"/>
  <c r="K601" i="4"/>
  <c r="E601" i="4"/>
  <c r="B601" i="4"/>
  <c r="U600" i="4"/>
  <c r="K600" i="4"/>
  <c r="E600" i="4"/>
  <c r="B600" i="4"/>
  <c r="K599" i="4"/>
  <c r="E599" i="4"/>
  <c r="B599" i="4"/>
  <c r="U598" i="4"/>
  <c r="K598" i="4"/>
  <c r="E598" i="4"/>
  <c r="B598" i="4"/>
  <c r="U597" i="4"/>
  <c r="K597" i="4"/>
  <c r="E597" i="4"/>
  <c r="B597" i="4"/>
  <c r="U596" i="4"/>
  <c r="K596" i="4"/>
  <c r="E596" i="4"/>
  <c r="B596" i="4"/>
  <c r="U595" i="4"/>
  <c r="K595" i="4"/>
  <c r="E595" i="4"/>
  <c r="B595" i="4"/>
  <c r="U594" i="4"/>
  <c r="K594" i="4"/>
  <c r="E594" i="4"/>
  <c r="B594" i="4"/>
  <c r="U593" i="4"/>
  <c r="K593" i="4"/>
  <c r="E593" i="4"/>
  <c r="B593" i="4"/>
  <c r="U592" i="4"/>
  <c r="K592" i="4"/>
  <c r="E592" i="4"/>
  <c r="B592" i="4"/>
  <c r="U591" i="4"/>
  <c r="K591" i="4"/>
  <c r="E591" i="4"/>
  <c r="B591" i="4"/>
  <c r="U590" i="4"/>
  <c r="K590" i="4"/>
  <c r="E590" i="4"/>
  <c r="B590" i="4"/>
  <c r="U589" i="4"/>
  <c r="K589" i="4"/>
  <c r="E589" i="4"/>
  <c r="B589" i="4"/>
  <c r="U588" i="4"/>
  <c r="K588" i="4"/>
  <c r="E588" i="4"/>
  <c r="B588" i="4"/>
  <c r="U587" i="4"/>
  <c r="K587" i="4"/>
  <c r="E587" i="4"/>
  <c r="B587" i="4"/>
  <c r="U586" i="4"/>
  <c r="K586" i="4"/>
  <c r="E586" i="4"/>
  <c r="B586" i="4"/>
  <c r="U585" i="4"/>
  <c r="K585" i="4"/>
  <c r="E585" i="4"/>
  <c r="B585" i="4"/>
  <c r="U584" i="4"/>
  <c r="K584" i="4"/>
  <c r="E584" i="4"/>
  <c r="B584" i="4"/>
  <c r="U583" i="4"/>
  <c r="K583" i="4"/>
  <c r="E583" i="4"/>
  <c r="B583" i="4"/>
  <c r="U582" i="4"/>
  <c r="K582" i="4"/>
  <c r="E582" i="4"/>
  <c r="B582" i="4"/>
  <c r="U581" i="4"/>
  <c r="K581" i="4"/>
  <c r="E581" i="4"/>
  <c r="B581" i="4"/>
  <c r="U580" i="4"/>
  <c r="K580" i="4"/>
  <c r="E580" i="4"/>
  <c r="B580" i="4"/>
  <c r="U579" i="4"/>
  <c r="K579" i="4"/>
  <c r="E579" i="4"/>
  <c r="B579" i="4"/>
  <c r="U578" i="4"/>
  <c r="K578" i="4"/>
  <c r="E578" i="4"/>
  <c r="B578" i="4"/>
  <c r="U577" i="4"/>
  <c r="K577" i="4"/>
  <c r="E577" i="4"/>
  <c r="B577" i="4"/>
  <c r="U576" i="4"/>
  <c r="K576" i="4"/>
  <c r="E576" i="4"/>
  <c r="B576" i="4"/>
  <c r="U575" i="4"/>
  <c r="K575" i="4"/>
  <c r="E575" i="4"/>
  <c r="B575" i="4"/>
  <c r="U574" i="4"/>
  <c r="K574" i="4"/>
  <c r="E574" i="4"/>
  <c r="B574" i="4"/>
  <c r="U573" i="4"/>
  <c r="K573" i="4"/>
  <c r="E573" i="4"/>
  <c r="B573" i="4"/>
  <c r="U572" i="4"/>
  <c r="K572" i="4"/>
  <c r="E572" i="4"/>
  <c r="B572" i="4"/>
  <c r="U571" i="4"/>
  <c r="K571" i="4"/>
  <c r="E571" i="4"/>
  <c r="B571" i="4"/>
  <c r="U570" i="4"/>
  <c r="K570" i="4"/>
  <c r="E570" i="4"/>
  <c r="B570" i="4"/>
  <c r="U569" i="4"/>
  <c r="K569" i="4"/>
  <c r="E569" i="4"/>
  <c r="B569" i="4"/>
  <c r="U568" i="4"/>
  <c r="K568" i="4"/>
  <c r="E568" i="4"/>
  <c r="B568" i="4"/>
  <c r="U567" i="4"/>
  <c r="K567" i="4"/>
  <c r="E567" i="4"/>
  <c r="B567" i="4"/>
  <c r="U566" i="4"/>
  <c r="K566" i="4"/>
  <c r="E566" i="4"/>
  <c r="B566" i="4"/>
  <c r="U565" i="4"/>
  <c r="K565" i="4"/>
  <c r="E565" i="4"/>
  <c r="B565" i="4"/>
  <c r="U564" i="4"/>
  <c r="K564" i="4"/>
  <c r="E564" i="4"/>
  <c r="B564" i="4"/>
  <c r="U563" i="4"/>
  <c r="K563" i="4"/>
  <c r="E563" i="4"/>
  <c r="B563" i="4"/>
  <c r="U562" i="4"/>
  <c r="K562" i="4"/>
  <c r="E562" i="4"/>
  <c r="B562" i="4"/>
  <c r="U561" i="4"/>
  <c r="K561" i="4"/>
  <c r="E561" i="4"/>
  <c r="B561" i="4"/>
  <c r="U560" i="4"/>
  <c r="K560" i="4"/>
  <c r="E560" i="4"/>
  <c r="B560" i="4"/>
  <c r="U559" i="4"/>
  <c r="K559" i="4"/>
  <c r="E559" i="4"/>
  <c r="B559" i="4"/>
  <c r="U558" i="4"/>
  <c r="K558" i="4"/>
  <c r="E558" i="4"/>
  <c r="B558" i="4"/>
  <c r="U557" i="4"/>
  <c r="K557" i="4"/>
  <c r="E557" i="4"/>
  <c r="B557" i="4"/>
  <c r="U556" i="4"/>
  <c r="K556" i="4"/>
  <c r="E556" i="4"/>
  <c r="B556" i="4"/>
  <c r="U555" i="4"/>
  <c r="K555" i="4"/>
  <c r="E555" i="4"/>
  <c r="B555" i="4"/>
  <c r="U554" i="4"/>
  <c r="K554" i="4"/>
  <c r="E554" i="4"/>
  <c r="B554" i="4"/>
  <c r="U553" i="4"/>
  <c r="K553" i="4"/>
  <c r="E553" i="4"/>
  <c r="B553" i="4"/>
  <c r="U552" i="4"/>
  <c r="K552" i="4"/>
  <c r="E552" i="4"/>
  <c r="B552" i="4"/>
  <c r="U551" i="4"/>
  <c r="K551" i="4"/>
  <c r="E551" i="4"/>
  <c r="B551" i="4"/>
  <c r="U550" i="4"/>
  <c r="K550" i="4"/>
  <c r="E550" i="4"/>
  <c r="B550" i="4"/>
  <c r="U549" i="4"/>
  <c r="K549" i="4"/>
  <c r="E549" i="4"/>
  <c r="B549" i="4"/>
  <c r="U548" i="4"/>
  <c r="K548" i="4"/>
  <c r="E548" i="4"/>
  <c r="B548" i="4"/>
  <c r="U547" i="4"/>
  <c r="K547" i="4"/>
  <c r="E547" i="4"/>
  <c r="B547" i="4"/>
  <c r="U546" i="4"/>
  <c r="K546" i="4"/>
  <c r="E546" i="4"/>
  <c r="B546" i="4"/>
  <c r="U545" i="4"/>
  <c r="K545" i="4"/>
  <c r="E545" i="4"/>
  <c r="B545" i="4"/>
  <c r="U544" i="4"/>
  <c r="K544" i="4"/>
  <c r="E544" i="4"/>
  <c r="B544" i="4"/>
  <c r="U543" i="4"/>
  <c r="K543" i="4"/>
  <c r="E543" i="4"/>
  <c r="B543" i="4"/>
  <c r="U542" i="4"/>
  <c r="K542" i="4"/>
  <c r="E542" i="4"/>
  <c r="B542" i="4"/>
  <c r="U541" i="4"/>
  <c r="K541" i="4"/>
  <c r="E541" i="4"/>
  <c r="B541" i="4"/>
  <c r="U540" i="4"/>
  <c r="K540" i="4"/>
  <c r="E540" i="4"/>
  <c r="B540" i="4"/>
  <c r="U539" i="4"/>
  <c r="K539" i="4"/>
  <c r="E539" i="4"/>
  <c r="B539" i="4"/>
  <c r="U538" i="4"/>
  <c r="K538" i="4"/>
  <c r="E538" i="4"/>
  <c r="B538" i="4"/>
  <c r="U537" i="4"/>
  <c r="K537" i="4"/>
  <c r="E537" i="4"/>
  <c r="B537" i="4"/>
  <c r="U536" i="4"/>
  <c r="K536" i="4"/>
  <c r="E536" i="4"/>
  <c r="B536" i="4"/>
  <c r="U535" i="4"/>
  <c r="K535" i="4"/>
  <c r="E535" i="4"/>
  <c r="B535" i="4"/>
  <c r="U534" i="4"/>
  <c r="K534" i="4"/>
  <c r="E534" i="4"/>
  <c r="B534" i="4"/>
  <c r="U533" i="4"/>
  <c r="K533" i="4"/>
  <c r="E533" i="4"/>
  <c r="B533" i="4"/>
  <c r="U532" i="4"/>
  <c r="K532" i="4"/>
  <c r="E532" i="4"/>
  <c r="B532" i="4"/>
  <c r="U531" i="4"/>
  <c r="K531" i="4"/>
  <c r="E531" i="4"/>
  <c r="B531" i="4"/>
  <c r="U530" i="4"/>
  <c r="K530" i="4"/>
  <c r="E530" i="4"/>
  <c r="B530" i="4"/>
  <c r="U529" i="4"/>
  <c r="K529" i="4"/>
  <c r="E529" i="4"/>
  <c r="B529" i="4"/>
  <c r="U528" i="4"/>
  <c r="K528" i="4"/>
  <c r="E528" i="4"/>
  <c r="B528" i="4"/>
  <c r="U527" i="4"/>
  <c r="K527" i="4"/>
  <c r="E527" i="4"/>
  <c r="B527" i="4"/>
  <c r="U526" i="4"/>
  <c r="K526" i="4"/>
  <c r="E526" i="4"/>
  <c r="B526" i="4"/>
  <c r="U525" i="4"/>
  <c r="K525" i="4"/>
  <c r="E525" i="4"/>
  <c r="B525" i="4"/>
  <c r="U524" i="4"/>
  <c r="K524" i="4"/>
  <c r="E524" i="4"/>
  <c r="B524" i="4"/>
  <c r="U523" i="4"/>
  <c r="K523" i="4"/>
  <c r="E523" i="4"/>
  <c r="B523" i="4"/>
  <c r="K522" i="4"/>
  <c r="E522" i="4"/>
  <c r="B522" i="4"/>
  <c r="U521" i="4"/>
  <c r="K521" i="4"/>
  <c r="E521" i="4"/>
  <c r="B521" i="4"/>
  <c r="U520" i="4"/>
  <c r="K520" i="4"/>
  <c r="E520" i="4"/>
  <c r="B520" i="4"/>
  <c r="U519" i="4"/>
  <c r="K519" i="4"/>
  <c r="E519" i="4"/>
  <c r="B519" i="4"/>
  <c r="U518" i="4"/>
  <c r="K518" i="4"/>
  <c r="E518" i="4"/>
  <c r="B518" i="4"/>
  <c r="U517" i="4"/>
  <c r="K517" i="4"/>
  <c r="E517" i="4"/>
  <c r="B517" i="4"/>
  <c r="U516" i="4"/>
  <c r="K516" i="4"/>
  <c r="E516" i="4"/>
  <c r="B516" i="4"/>
  <c r="U515" i="4"/>
  <c r="K515" i="4"/>
  <c r="E515" i="4"/>
  <c r="B515" i="4"/>
  <c r="U514" i="4"/>
  <c r="K514" i="4"/>
  <c r="E514" i="4"/>
  <c r="B514" i="4"/>
  <c r="U513" i="4"/>
  <c r="K513" i="4"/>
  <c r="E513" i="4"/>
  <c r="B513" i="4"/>
  <c r="U512" i="4"/>
  <c r="K512" i="4"/>
  <c r="E512" i="4"/>
  <c r="B512" i="4"/>
  <c r="U511" i="4"/>
  <c r="K511" i="4"/>
  <c r="E511" i="4"/>
  <c r="B511" i="4"/>
  <c r="U510" i="4"/>
  <c r="K510" i="4"/>
  <c r="E510" i="4"/>
  <c r="B510" i="4"/>
  <c r="U509" i="4"/>
  <c r="K509" i="4"/>
  <c r="E509" i="4"/>
  <c r="B509" i="4"/>
  <c r="U508" i="4"/>
  <c r="K508" i="4"/>
  <c r="E508" i="4"/>
  <c r="B508" i="4"/>
  <c r="U507" i="4"/>
  <c r="K507" i="4"/>
  <c r="E507" i="4"/>
  <c r="B507" i="4"/>
  <c r="U506" i="4"/>
  <c r="K506" i="4"/>
  <c r="E506" i="4"/>
  <c r="B506" i="4"/>
  <c r="U505" i="4"/>
  <c r="K505" i="4"/>
  <c r="E505" i="4"/>
  <c r="B505" i="4"/>
  <c r="U504" i="4"/>
  <c r="K504" i="4"/>
  <c r="E504" i="4"/>
  <c r="B504" i="4"/>
  <c r="U503" i="4"/>
  <c r="K503" i="4"/>
  <c r="E503" i="4"/>
  <c r="B503" i="4"/>
  <c r="U502" i="4"/>
  <c r="K502" i="4"/>
  <c r="E502" i="4"/>
  <c r="B502" i="4"/>
  <c r="U501" i="4"/>
  <c r="K501" i="4"/>
  <c r="E501" i="4"/>
  <c r="B501" i="4"/>
  <c r="U500" i="4"/>
  <c r="K500" i="4"/>
  <c r="E500" i="4"/>
  <c r="B500" i="4"/>
  <c r="U499" i="4"/>
  <c r="K499" i="4"/>
  <c r="E499" i="4"/>
  <c r="B499" i="4"/>
  <c r="U498" i="4"/>
  <c r="K498" i="4"/>
  <c r="E498" i="4"/>
  <c r="B498" i="4"/>
  <c r="U497" i="4"/>
  <c r="K497" i="4"/>
  <c r="E497" i="4"/>
  <c r="B497" i="4"/>
  <c r="U496" i="4"/>
  <c r="K496" i="4"/>
  <c r="E496" i="4"/>
  <c r="B496" i="4"/>
  <c r="U495" i="4"/>
  <c r="K495" i="4"/>
  <c r="E495" i="4"/>
  <c r="B495" i="4"/>
  <c r="U494" i="4"/>
  <c r="K494" i="4"/>
  <c r="E494" i="4"/>
  <c r="B494" i="4"/>
  <c r="U493" i="4"/>
  <c r="K493" i="4"/>
  <c r="E493" i="4"/>
  <c r="B493" i="4"/>
  <c r="U492" i="4"/>
  <c r="K492" i="4"/>
  <c r="E492" i="4"/>
  <c r="B492" i="4"/>
  <c r="U491" i="4"/>
  <c r="K491" i="4"/>
  <c r="E491" i="4"/>
  <c r="B491" i="4"/>
  <c r="U490" i="4"/>
  <c r="K490" i="4"/>
  <c r="E490" i="4"/>
  <c r="B490" i="4"/>
  <c r="U489" i="4"/>
  <c r="K489" i="4"/>
  <c r="E489" i="4"/>
  <c r="B489" i="4"/>
  <c r="U488" i="4"/>
  <c r="K488" i="4"/>
  <c r="E488" i="4"/>
  <c r="B488" i="4"/>
  <c r="U487" i="4"/>
  <c r="K487" i="4"/>
  <c r="E487" i="4"/>
  <c r="B487" i="4"/>
  <c r="U486" i="4"/>
  <c r="K486" i="4"/>
  <c r="E486" i="4"/>
  <c r="B486" i="4"/>
  <c r="U485" i="4"/>
  <c r="K485" i="4"/>
  <c r="E485" i="4"/>
  <c r="B485" i="4"/>
  <c r="U484" i="4"/>
  <c r="K484" i="4"/>
  <c r="E484" i="4"/>
  <c r="B484" i="4"/>
  <c r="U483" i="4"/>
  <c r="K483" i="4"/>
  <c r="E483" i="4"/>
  <c r="B483" i="4"/>
  <c r="U482" i="4"/>
  <c r="K482" i="4"/>
  <c r="E482" i="4"/>
  <c r="B482" i="4"/>
  <c r="U481" i="4"/>
  <c r="K481" i="4"/>
  <c r="E481" i="4"/>
  <c r="B481" i="4"/>
  <c r="U480" i="4"/>
  <c r="K480" i="4"/>
  <c r="E480" i="4"/>
  <c r="B480" i="4"/>
  <c r="U479" i="4"/>
  <c r="K479" i="4"/>
  <c r="E479" i="4"/>
  <c r="B479" i="4"/>
  <c r="U478" i="4"/>
  <c r="K478" i="4"/>
  <c r="E478" i="4"/>
  <c r="B478" i="4"/>
  <c r="U477" i="4"/>
  <c r="K477" i="4"/>
  <c r="E477" i="4"/>
  <c r="B477" i="4"/>
  <c r="U476" i="4"/>
  <c r="K476" i="4"/>
  <c r="E476" i="4"/>
  <c r="B476" i="4"/>
  <c r="U475" i="4"/>
  <c r="K475" i="4"/>
  <c r="E475" i="4"/>
  <c r="B475" i="4"/>
  <c r="U474" i="4"/>
  <c r="K474" i="4"/>
  <c r="E474" i="4"/>
  <c r="B474" i="4"/>
  <c r="U473" i="4"/>
  <c r="K473" i="4"/>
  <c r="E473" i="4"/>
  <c r="B473" i="4"/>
  <c r="U472" i="4"/>
  <c r="K472" i="4"/>
  <c r="E472" i="4"/>
  <c r="B472" i="4"/>
  <c r="U471" i="4"/>
  <c r="K471" i="4"/>
  <c r="E471" i="4"/>
  <c r="B471" i="4"/>
  <c r="U470" i="4"/>
  <c r="K470" i="4"/>
  <c r="E470" i="4"/>
  <c r="B470" i="4"/>
  <c r="U469" i="4"/>
  <c r="K469" i="4"/>
  <c r="E469" i="4"/>
  <c r="B469" i="4"/>
  <c r="U468" i="4"/>
  <c r="K468" i="4"/>
  <c r="E468" i="4"/>
  <c r="B468" i="4"/>
  <c r="U467" i="4"/>
  <c r="K467" i="4"/>
  <c r="E467" i="4"/>
  <c r="B467" i="4"/>
  <c r="U466" i="4"/>
  <c r="K466" i="4"/>
  <c r="E466" i="4"/>
  <c r="B466" i="4"/>
  <c r="U465" i="4"/>
  <c r="K465" i="4"/>
  <c r="H465" i="4"/>
  <c r="E465" i="4"/>
  <c r="B465" i="4"/>
  <c r="U464" i="4"/>
  <c r="K464" i="4"/>
  <c r="E464" i="4"/>
  <c r="B464" i="4"/>
  <c r="U463" i="4"/>
  <c r="K463" i="4"/>
  <c r="E463" i="4"/>
  <c r="B463" i="4"/>
  <c r="U462" i="4"/>
  <c r="K462" i="4"/>
  <c r="E462" i="4"/>
  <c r="B462" i="4"/>
  <c r="U461" i="4"/>
  <c r="K461" i="4"/>
  <c r="E461" i="4"/>
  <c r="B461" i="4"/>
  <c r="U460" i="4"/>
  <c r="K460" i="4"/>
  <c r="E460" i="4"/>
  <c r="B460" i="4"/>
  <c r="U459" i="4"/>
  <c r="K459" i="4"/>
  <c r="E459" i="4"/>
  <c r="B459" i="4"/>
  <c r="U458" i="4"/>
  <c r="K458" i="4"/>
  <c r="E458" i="4"/>
  <c r="B458" i="4"/>
  <c r="U457" i="4"/>
  <c r="K457" i="4"/>
  <c r="E457" i="4"/>
  <c r="B457" i="4"/>
  <c r="U456" i="4"/>
  <c r="K456" i="4"/>
  <c r="E456" i="4"/>
  <c r="B456" i="4"/>
  <c r="U455" i="4"/>
  <c r="K455" i="4"/>
  <c r="E455" i="4"/>
  <c r="B455" i="4"/>
  <c r="U454" i="4"/>
  <c r="K454" i="4"/>
  <c r="E454" i="4"/>
  <c r="B454" i="4"/>
  <c r="U453" i="4"/>
  <c r="K453" i="4"/>
  <c r="E453" i="4"/>
  <c r="B453" i="4"/>
  <c r="U452" i="4"/>
  <c r="K452" i="4"/>
  <c r="E452" i="4"/>
  <c r="B452" i="4"/>
  <c r="U451" i="4"/>
  <c r="K451" i="4"/>
  <c r="E451" i="4"/>
  <c r="B451" i="4"/>
  <c r="U450" i="4"/>
  <c r="K450" i="4"/>
  <c r="E450" i="4"/>
  <c r="B450" i="4"/>
  <c r="U449" i="4"/>
  <c r="K449" i="4"/>
  <c r="E449" i="4"/>
  <c r="B449" i="4"/>
  <c r="U448" i="4"/>
  <c r="K448" i="4"/>
  <c r="E448" i="4"/>
  <c r="B448" i="4"/>
  <c r="U447" i="4"/>
  <c r="K447" i="4"/>
  <c r="E447" i="4"/>
  <c r="B447" i="4"/>
  <c r="U446" i="4"/>
  <c r="K446" i="4"/>
  <c r="E446" i="4"/>
  <c r="B446" i="4"/>
  <c r="U445" i="4"/>
  <c r="K445" i="4"/>
  <c r="E445" i="4"/>
  <c r="B445" i="4"/>
  <c r="U444" i="4"/>
  <c r="K444" i="4"/>
  <c r="E444" i="4"/>
  <c r="B444" i="4"/>
  <c r="U443" i="4"/>
  <c r="K443" i="4"/>
  <c r="E443" i="4"/>
  <c r="B443" i="4"/>
  <c r="U442" i="4"/>
  <c r="K442" i="4"/>
  <c r="E442" i="4"/>
  <c r="B442" i="4"/>
  <c r="U441" i="4"/>
  <c r="K441" i="4"/>
  <c r="E441" i="4"/>
  <c r="B441" i="4"/>
  <c r="U440" i="4"/>
  <c r="K440" i="4"/>
  <c r="E440" i="4"/>
  <c r="B440" i="4"/>
  <c r="U439" i="4"/>
  <c r="K439" i="4"/>
  <c r="E439" i="4"/>
  <c r="B439" i="4"/>
  <c r="U438" i="4"/>
  <c r="K438" i="4"/>
  <c r="E438" i="4"/>
  <c r="B438" i="4"/>
  <c r="U437" i="4"/>
  <c r="K437" i="4"/>
  <c r="E437" i="4"/>
  <c r="B437" i="4"/>
  <c r="U436" i="4"/>
  <c r="K436" i="4"/>
  <c r="E436" i="4"/>
  <c r="B436" i="4"/>
  <c r="U435" i="4"/>
  <c r="K435" i="4"/>
  <c r="E435" i="4"/>
  <c r="B435" i="4"/>
  <c r="U434" i="4"/>
  <c r="K434" i="4"/>
  <c r="E434" i="4"/>
  <c r="B434" i="4"/>
  <c r="U433" i="4"/>
  <c r="K433" i="4"/>
  <c r="E433" i="4"/>
  <c r="B433" i="4"/>
  <c r="U432" i="4"/>
  <c r="K432" i="4"/>
  <c r="E432" i="4"/>
  <c r="B432" i="4"/>
  <c r="U431" i="4"/>
  <c r="K431" i="4"/>
  <c r="E431" i="4"/>
  <c r="B431" i="4"/>
  <c r="U430" i="4"/>
  <c r="K430" i="4"/>
  <c r="E430" i="4"/>
  <c r="B430" i="4"/>
  <c r="U429" i="4"/>
  <c r="K429" i="4"/>
  <c r="E429" i="4"/>
  <c r="B429" i="4"/>
  <c r="U428" i="4"/>
  <c r="K428" i="4"/>
  <c r="E428" i="4"/>
  <c r="B428" i="4"/>
  <c r="U427" i="4"/>
  <c r="K427" i="4"/>
  <c r="E427" i="4"/>
  <c r="B427" i="4"/>
  <c r="U426" i="4"/>
  <c r="K426" i="4"/>
  <c r="E426" i="4"/>
  <c r="B426" i="4"/>
  <c r="U425" i="4"/>
  <c r="K425" i="4"/>
  <c r="E425" i="4"/>
  <c r="B425" i="4"/>
  <c r="U424" i="4"/>
  <c r="K424" i="4"/>
  <c r="E424" i="4"/>
  <c r="B424" i="4"/>
  <c r="U423" i="4"/>
  <c r="K423" i="4"/>
  <c r="E423" i="4"/>
  <c r="B423" i="4"/>
  <c r="U422" i="4"/>
  <c r="K422" i="4"/>
  <c r="E422" i="4"/>
  <c r="B422" i="4"/>
  <c r="U421" i="4"/>
  <c r="K421" i="4"/>
  <c r="E421" i="4"/>
  <c r="B421" i="4"/>
  <c r="U420" i="4"/>
  <c r="K420" i="4"/>
  <c r="E420" i="4"/>
  <c r="B420" i="4"/>
  <c r="U419" i="4"/>
  <c r="K419" i="4"/>
  <c r="E419" i="4"/>
  <c r="B419" i="4"/>
  <c r="U418" i="4"/>
  <c r="K418" i="4"/>
  <c r="E418" i="4"/>
  <c r="B418" i="4"/>
  <c r="U417" i="4"/>
  <c r="K417" i="4"/>
  <c r="E417" i="4"/>
  <c r="B417" i="4"/>
  <c r="U416" i="4"/>
  <c r="K416" i="4"/>
  <c r="E416" i="4"/>
  <c r="B416" i="4"/>
  <c r="U415" i="4"/>
  <c r="K415" i="4"/>
  <c r="E415" i="4"/>
  <c r="B415" i="4"/>
  <c r="U414" i="4"/>
  <c r="K414" i="4"/>
  <c r="E414" i="4"/>
  <c r="B414" i="4"/>
  <c r="U413" i="4"/>
  <c r="K413" i="4"/>
  <c r="E413" i="4"/>
  <c r="B413" i="4"/>
  <c r="U412" i="4"/>
  <c r="K412" i="4"/>
  <c r="E412" i="4"/>
  <c r="B412" i="4"/>
  <c r="U411" i="4"/>
  <c r="K411" i="4"/>
  <c r="E411" i="4"/>
  <c r="B411" i="4"/>
  <c r="U410" i="4"/>
  <c r="K410" i="4"/>
  <c r="E410" i="4"/>
  <c r="B410" i="4"/>
  <c r="U409" i="4"/>
  <c r="K409" i="4"/>
  <c r="E409" i="4"/>
  <c r="B409" i="4"/>
  <c r="U408" i="4"/>
  <c r="K408" i="4"/>
  <c r="E408" i="4"/>
  <c r="B408" i="4"/>
  <c r="U407" i="4"/>
  <c r="K407" i="4"/>
  <c r="E407" i="4"/>
  <c r="B407" i="4"/>
  <c r="U406" i="4"/>
  <c r="K406" i="4"/>
  <c r="E406" i="4"/>
  <c r="B406" i="4"/>
  <c r="U405" i="4"/>
  <c r="K405" i="4"/>
  <c r="E405" i="4"/>
  <c r="B405" i="4"/>
  <c r="U404" i="4"/>
  <c r="K404" i="4"/>
  <c r="E404" i="4"/>
  <c r="B404" i="4"/>
  <c r="U403" i="4"/>
  <c r="K403" i="4"/>
  <c r="E403" i="4"/>
  <c r="B403" i="4"/>
  <c r="U402" i="4"/>
  <c r="K402" i="4"/>
  <c r="E402" i="4"/>
  <c r="B402" i="4"/>
  <c r="U401" i="4"/>
  <c r="K401" i="4"/>
  <c r="E401" i="4"/>
  <c r="B401" i="4"/>
  <c r="U400" i="4"/>
  <c r="K400" i="4"/>
  <c r="E400" i="4"/>
  <c r="B400" i="4"/>
  <c r="U399" i="4"/>
  <c r="K399" i="4"/>
  <c r="E399" i="4"/>
  <c r="B399" i="4"/>
  <c r="U398" i="4"/>
  <c r="K398" i="4"/>
  <c r="E398" i="4"/>
  <c r="B398" i="4"/>
  <c r="U397" i="4"/>
  <c r="K397" i="4"/>
  <c r="E397" i="4"/>
  <c r="B397" i="4"/>
  <c r="U396" i="4"/>
  <c r="K396" i="4"/>
  <c r="E396" i="4"/>
  <c r="B396" i="4"/>
  <c r="U395" i="4"/>
  <c r="K395" i="4"/>
  <c r="E395" i="4"/>
  <c r="B395" i="4"/>
  <c r="U394" i="4"/>
  <c r="K394" i="4"/>
  <c r="E394" i="4"/>
  <c r="B394" i="4"/>
  <c r="U393" i="4"/>
  <c r="K393" i="4"/>
  <c r="E393" i="4"/>
  <c r="B393" i="4"/>
  <c r="U392" i="4"/>
  <c r="K392" i="4"/>
  <c r="E392" i="4"/>
  <c r="B392" i="4"/>
  <c r="U391" i="4"/>
  <c r="K391" i="4"/>
  <c r="E391" i="4"/>
  <c r="B391" i="4"/>
  <c r="U390" i="4"/>
  <c r="K390" i="4"/>
  <c r="E390" i="4"/>
  <c r="B390" i="4"/>
  <c r="U389" i="4"/>
  <c r="K389" i="4"/>
  <c r="E389" i="4"/>
  <c r="B389" i="4"/>
  <c r="U388" i="4"/>
  <c r="K388" i="4"/>
  <c r="E388" i="4"/>
  <c r="B388" i="4"/>
  <c r="U387" i="4"/>
  <c r="K387" i="4"/>
  <c r="E387" i="4"/>
  <c r="B387" i="4"/>
  <c r="U386" i="4"/>
  <c r="K386" i="4"/>
  <c r="E386" i="4"/>
  <c r="B386" i="4"/>
  <c r="U385" i="4"/>
  <c r="K385" i="4"/>
  <c r="E385" i="4"/>
  <c r="B385" i="4"/>
  <c r="U384" i="4"/>
  <c r="K384" i="4"/>
  <c r="E384" i="4"/>
  <c r="B384" i="4"/>
  <c r="U383" i="4"/>
  <c r="K383" i="4"/>
  <c r="E383" i="4"/>
  <c r="B383" i="4"/>
  <c r="U382" i="4"/>
  <c r="K382" i="4"/>
  <c r="E382" i="4"/>
  <c r="B382" i="4"/>
  <c r="U381" i="4"/>
  <c r="K381" i="4"/>
  <c r="E381" i="4"/>
  <c r="B381" i="4"/>
  <c r="U380" i="4"/>
  <c r="K380" i="4"/>
  <c r="E380" i="4"/>
  <c r="B380" i="4"/>
  <c r="U379" i="4"/>
  <c r="K379" i="4"/>
  <c r="E379" i="4"/>
  <c r="B379" i="4"/>
  <c r="U378" i="4"/>
  <c r="K378" i="4"/>
  <c r="E378" i="4"/>
  <c r="B378" i="4"/>
  <c r="U377" i="4"/>
  <c r="K377" i="4"/>
  <c r="E377" i="4"/>
  <c r="B377" i="4"/>
  <c r="U376" i="4"/>
  <c r="K376" i="4"/>
  <c r="E376" i="4"/>
  <c r="B376" i="4"/>
  <c r="U375" i="4"/>
  <c r="K375" i="4"/>
  <c r="E375" i="4"/>
  <c r="B375" i="4"/>
  <c r="U374" i="4"/>
  <c r="K374" i="4"/>
  <c r="E374" i="4"/>
  <c r="B374" i="4"/>
  <c r="U373" i="4"/>
  <c r="K373" i="4"/>
  <c r="E373" i="4"/>
  <c r="B373" i="4"/>
  <c r="U372" i="4"/>
  <c r="K372" i="4"/>
  <c r="E372" i="4"/>
  <c r="B372" i="4"/>
  <c r="U371" i="4"/>
  <c r="K371" i="4"/>
  <c r="E371" i="4"/>
  <c r="B371" i="4"/>
  <c r="U370" i="4"/>
  <c r="K370" i="4"/>
  <c r="E370" i="4"/>
  <c r="B370" i="4"/>
  <c r="U369" i="4"/>
  <c r="K369" i="4"/>
  <c r="E369" i="4"/>
  <c r="B369" i="4"/>
  <c r="U368" i="4"/>
  <c r="K368" i="4"/>
  <c r="E368" i="4"/>
  <c r="B368" i="4"/>
  <c r="U367" i="4"/>
  <c r="K367" i="4"/>
  <c r="E367" i="4"/>
  <c r="B367" i="4"/>
  <c r="U366" i="4"/>
  <c r="K366" i="4"/>
  <c r="E366" i="4"/>
  <c r="B366" i="4"/>
  <c r="U365" i="4"/>
  <c r="K365" i="4"/>
  <c r="E365" i="4"/>
  <c r="B365" i="4"/>
  <c r="U364" i="4"/>
  <c r="K364" i="4"/>
  <c r="E364" i="4"/>
  <c r="B364" i="4"/>
  <c r="U363" i="4"/>
  <c r="K363" i="4"/>
  <c r="E363" i="4"/>
  <c r="B363" i="4"/>
  <c r="U362" i="4"/>
  <c r="K362" i="4"/>
  <c r="E362" i="4"/>
  <c r="B362" i="4"/>
  <c r="U361" i="4"/>
  <c r="K361" i="4"/>
  <c r="E361" i="4"/>
  <c r="B361" i="4"/>
  <c r="U360" i="4"/>
  <c r="K360" i="4"/>
  <c r="E360" i="4"/>
  <c r="B360" i="4"/>
  <c r="U359" i="4"/>
  <c r="K359" i="4"/>
  <c r="E359" i="4"/>
  <c r="B359" i="4"/>
  <c r="U358" i="4"/>
  <c r="K358" i="4"/>
  <c r="E358" i="4"/>
  <c r="B358" i="4"/>
  <c r="U357" i="4"/>
  <c r="K357" i="4"/>
  <c r="E357" i="4"/>
  <c r="B357" i="4"/>
  <c r="U356" i="4"/>
  <c r="K356" i="4"/>
  <c r="E356" i="4"/>
  <c r="B356" i="4"/>
  <c r="U355" i="4"/>
  <c r="K355" i="4"/>
  <c r="E355" i="4"/>
  <c r="B355" i="4"/>
  <c r="U354" i="4"/>
  <c r="K354" i="4"/>
  <c r="E354" i="4"/>
  <c r="B354" i="4"/>
  <c r="U353" i="4"/>
  <c r="K353" i="4"/>
  <c r="E353" i="4"/>
  <c r="B353" i="4"/>
  <c r="U352" i="4"/>
  <c r="K352" i="4"/>
  <c r="E352" i="4"/>
  <c r="B352" i="4"/>
  <c r="U351" i="4"/>
  <c r="K351" i="4"/>
  <c r="E351" i="4"/>
  <c r="B351" i="4"/>
  <c r="U350" i="4"/>
  <c r="K350" i="4"/>
  <c r="E350" i="4"/>
  <c r="B350" i="4"/>
  <c r="U349" i="4"/>
  <c r="K349" i="4"/>
  <c r="E349" i="4"/>
  <c r="B349" i="4"/>
  <c r="U348" i="4"/>
  <c r="K348" i="4"/>
  <c r="E348" i="4"/>
  <c r="B348" i="4"/>
  <c r="U347" i="4"/>
  <c r="K347" i="4"/>
  <c r="E347" i="4"/>
  <c r="B347" i="4"/>
  <c r="U346" i="4"/>
  <c r="K346" i="4"/>
  <c r="E346" i="4"/>
  <c r="B346" i="4"/>
  <c r="U345" i="4"/>
  <c r="K345" i="4"/>
  <c r="E345" i="4"/>
  <c r="B345" i="4"/>
  <c r="U344" i="4"/>
  <c r="K344" i="4"/>
  <c r="E344" i="4"/>
  <c r="B344" i="4"/>
  <c r="U343" i="4"/>
  <c r="K343" i="4"/>
  <c r="E343" i="4"/>
  <c r="B343" i="4"/>
  <c r="U342" i="4"/>
  <c r="K342" i="4"/>
  <c r="E342" i="4"/>
  <c r="B342" i="4"/>
  <c r="U341" i="4"/>
  <c r="K341" i="4"/>
  <c r="E341" i="4"/>
  <c r="B341" i="4"/>
  <c r="U340" i="4"/>
  <c r="K340" i="4"/>
  <c r="E340" i="4"/>
  <c r="B340" i="4"/>
  <c r="U339" i="4"/>
  <c r="K339" i="4"/>
  <c r="E339" i="4"/>
  <c r="B339" i="4"/>
  <c r="U338" i="4"/>
  <c r="K338" i="4"/>
  <c r="E338" i="4"/>
  <c r="B338" i="4"/>
  <c r="U337" i="4"/>
  <c r="K337" i="4"/>
  <c r="E337" i="4"/>
  <c r="B337" i="4"/>
  <c r="U336" i="4"/>
  <c r="K336" i="4"/>
  <c r="E336" i="4"/>
  <c r="B336" i="4"/>
  <c r="U335" i="4"/>
  <c r="K335" i="4"/>
  <c r="E335" i="4"/>
  <c r="B335" i="4"/>
  <c r="U334" i="4"/>
  <c r="K334" i="4"/>
  <c r="E334" i="4"/>
  <c r="B334" i="4"/>
  <c r="U333" i="4"/>
  <c r="K333" i="4"/>
  <c r="E333" i="4"/>
  <c r="B333" i="4"/>
  <c r="U332" i="4"/>
  <c r="K332" i="4"/>
  <c r="E332" i="4"/>
  <c r="B332" i="4"/>
  <c r="U331" i="4"/>
  <c r="K331" i="4"/>
  <c r="E331" i="4"/>
  <c r="B331" i="4"/>
  <c r="U330" i="4"/>
  <c r="K330" i="4"/>
  <c r="E330" i="4"/>
  <c r="B330" i="4"/>
  <c r="U329" i="4"/>
  <c r="K329" i="4"/>
  <c r="E329" i="4"/>
  <c r="B329" i="4"/>
  <c r="U328" i="4"/>
  <c r="K328" i="4"/>
  <c r="E328" i="4"/>
  <c r="B328" i="4"/>
  <c r="U327" i="4"/>
  <c r="K327" i="4"/>
  <c r="E327" i="4"/>
  <c r="B327" i="4"/>
  <c r="U326" i="4"/>
  <c r="K326" i="4"/>
  <c r="E326" i="4"/>
  <c r="B326" i="4"/>
  <c r="U325" i="4"/>
  <c r="K325" i="4"/>
  <c r="E325" i="4"/>
  <c r="B325" i="4"/>
  <c r="U324" i="4"/>
  <c r="K324" i="4"/>
  <c r="E324" i="4"/>
  <c r="B324" i="4"/>
  <c r="U323" i="4"/>
  <c r="K323" i="4"/>
  <c r="E323" i="4"/>
  <c r="B323" i="4"/>
  <c r="U322" i="4"/>
  <c r="K322" i="4"/>
  <c r="E322" i="4"/>
  <c r="B322" i="4"/>
  <c r="U321" i="4"/>
  <c r="K321" i="4"/>
  <c r="E321" i="4"/>
  <c r="B321" i="4"/>
  <c r="U320" i="4"/>
  <c r="K320" i="4"/>
  <c r="E320" i="4"/>
  <c r="B320" i="4"/>
  <c r="U319" i="4"/>
  <c r="K319" i="4"/>
  <c r="E319" i="4"/>
  <c r="B319" i="4"/>
  <c r="U318" i="4"/>
  <c r="K318" i="4"/>
  <c r="E318" i="4"/>
  <c r="B318" i="4"/>
  <c r="U317" i="4"/>
  <c r="K317" i="4"/>
  <c r="E317" i="4"/>
  <c r="B317" i="4"/>
  <c r="U316" i="4"/>
  <c r="K316" i="4"/>
  <c r="E316" i="4"/>
  <c r="B316" i="4"/>
  <c r="U315" i="4"/>
  <c r="K315" i="4"/>
  <c r="E315" i="4"/>
  <c r="B315" i="4"/>
  <c r="U314" i="4"/>
  <c r="K314" i="4"/>
  <c r="E314" i="4"/>
  <c r="B314" i="4"/>
  <c r="U313" i="4"/>
  <c r="K313" i="4"/>
  <c r="E313" i="4"/>
  <c r="B313" i="4"/>
  <c r="U312" i="4"/>
  <c r="K312" i="4"/>
  <c r="E312" i="4"/>
  <c r="B312" i="4"/>
  <c r="U311" i="4"/>
  <c r="K311" i="4"/>
  <c r="E311" i="4"/>
  <c r="B311" i="4"/>
  <c r="U310" i="4"/>
  <c r="K310" i="4"/>
  <c r="E310" i="4"/>
  <c r="B310" i="4"/>
  <c r="U309" i="4"/>
  <c r="K309" i="4"/>
  <c r="E309" i="4"/>
  <c r="B309" i="4"/>
  <c r="U308" i="4"/>
  <c r="K308" i="4"/>
  <c r="E308" i="4"/>
  <c r="B308" i="4"/>
  <c r="U307" i="4"/>
  <c r="K307" i="4"/>
  <c r="E307" i="4"/>
  <c r="B307" i="4"/>
  <c r="U306" i="4"/>
  <c r="K306" i="4"/>
  <c r="E306" i="4"/>
  <c r="B306" i="4"/>
  <c r="U305" i="4"/>
  <c r="K305" i="4"/>
  <c r="E305" i="4"/>
  <c r="B305" i="4"/>
  <c r="U304" i="4"/>
  <c r="K304" i="4"/>
  <c r="E304" i="4"/>
  <c r="B304" i="4"/>
  <c r="U303" i="4"/>
  <c r="K303" i="4"/>
  <c r="E303" i="4"/>
  <c r="B303" i="4"/>
  <c r="U302" i="4"/>
  <c r="K302" i="4"/>
  <c r="E302" i="4"/>
  <c r="B302" i="4"/>
  <c r="U301" i="4"/>
  <c r="K301" i="4"/>
  <c r="E301" i="4"/>
  <c r="B301" i="4"/>
  <c r="U300" i="4"/>
  <c r="K300" i="4"/>
  <c r="E300" i="4"/>
  <c r="B300" i="4"/>
  <c r="U299" i="4"/>
  <c r="K299" i="4"/>
  <c r="E299" i="4"/>
  <c r="B299" i="4"/>
  <c r="U298" i="4"/>
  <c r="K298" i="4"/>
  <c r="E298" i="4"/>
  <c r="B298" i="4"/>
  <c r="U297" i="4"/>
  <c r="K297" i="4"/>
  <c r="E297" i="4"/>
  <c r="B297" i="4"/>
  <c r="U296" i="4"/>
  <c r="K296" i="4"/>
  <c r="E296" i="4"/>
  <c r="B296" i="4"/>
  <c r="U295" i="4"/>
  <c r="K295" i="4"/>
  <c r="E295" i="4"/>
  <c r="B295" i="4"/>
  <c r="U294" i="4"/>
  <c r="K294" i="4"/>
  <c r="E294" i="4"/>
  <c r="B294" i="4"/>
  <c r="U293" i="4"/>
  <c r="K293" i="4"/>
  <c r="E293" i="4"/>
  <c r="B293" i="4"/>
  <c r="U292" i="4"/>
  <c r="K292" i="4"/>
  <c r="E292" i="4"/>
  <c r="B292" i="4"/>
  <c r="U291" i="4"/>
  <c r="K291" i="4"/>
  <c r="E291" i="4"/>
  <c r="B291" i="4"/>
  <c r="U290" i="4"/>
  <c r="K290" i="4"/>
  <c r="E290" i="4"/>
  <c r="B290" i="4"/>
  <c r="U289" i="4"/>
  <c r="K289" i="4"/>
  <c r="E289" i="4"/>
  <c r="B289" i="4"/>
  <c r="U288" i="4"/>
  <c r="K288" i="4"/>
  <c r="E288" i="4"/>
  <c r="B288" i="4"/>
  <c r="U287" i="4"/>
  <c r="K287" i="4"/>
  <c r="E287" i="4"/>
  <c r="B287" i="4"/>
  <c r="U286" i="4"/>
  <c r="K286" i="4"/>
  <c r="E286" i="4"/>
  <c r="B286" i="4"/>
  <c r="U285" i="4"/>
  <c r="K285" i="4"/>
  <c r="E285" i="4"/>
  <c r="B285" i="4"/>
  <c r="U284" i="4"/>
  <c r="K284" i="4"/>
  <c r="E284" i="4"/>
  <c r="B284" i="4"/>
  <c r="U283" i="4"/>
  <c r="K283" i="4"/>
  <c r="E283" i="4"/>
  <c r="B283" i="4"/>
  <c r="U282" i="4"/>
  <c r="K282" i="4"/>
  <c r="E282" i="4"/>
  <c r="B282" i="4"/>
  <c r="U281" i="4"/>
  <c r="K281" i="4"/>
  <c r="E281" i="4"/>
  <c r="B281" i="4"/>
  <c r="U280" i="4"/>
  <c r="K280" i="4"/>
  <c r="E280" i="4"/>
  <c r="B280" i="4"/>
  <c r="U279" i="4"/>
  <c r="K279" i="4"/>
  <c r="E279" i="4"/>
  <c r="B279" i="4"/>
  <c r="U278" i="4"/>
  <c r="K278" i="4"/>
  <c r="E278" i="4"/>
  <c r="B278" i="4"/>
  <c r="U277" i="4"/>
  <c r="K277" i="4"/>
  <c r="E277" i="4"/>
  <c r="B277" i="4"/>
  <c r="U276" i="4"/>
  <c r="K276" i="4"/>
  <c r="E276" i="4"/>
  <c r="B276" i="4"/>
  <c r="U275" i="4"/>
  <c r="K275" i="4"/>
  <c r="E275" i="4"/>
  <c r="B275" i="4"/>
  <c r="U274" i="4"/>
  <c r="K274" i="4"/>
  <c r="E274" i="4"/>
  <c r="B274" i="4"/>
  <c r="U273" i="4"/>
  <c r="K273" i="4"/>
  <c r="E273" i="4"/>
  <c r="B273" i="4"/>
  <c r="U272" i="4"/>
  <c r="K272" i="4"/>
  <c r="E272" i="4"/>
  <c r="B272" i="4"/>
  <c r="U271" i="4"/>
  <c r="K271" i="4"/>
  <c r="E271" i="4"/>
  <c r="B271" i="4"/>
  <c r="U270" i="4"/>
  <c r="K270" i="4"/>
  <c r="E270" i="4"/>
  <c r="B270" i="4"/>
  <c r="U269" i="4"/>
  <c r="K269" i="4"/>
  <c r="E269" i="4"/>
  <c r="B269" i="4"/>
  <c r="U268" i="4"/>
  <c r="K268" i="4"/>
  <c r="E268" i="4"/>
  <c r="B268" i="4"/>
  <c r="U267" i="4"/>
  <c r="K267" i="4"/>
  <c r="E267" i="4"/>
  <c r="B267" i="4"/>
  <c r="U266" i="4"/>
  <c r="K266" i="4"/>
  <c r="E266" i="4"/>
  <c r="B266" i="4"/>
  <c r="U265" i="4"/>
  <c r="K265" i="4"/>
  <c r="E265" i="4"/>
  <c r="B265" i="4"/>
  <c r="U264" i="4"/>
  <c r="K264" i="4"/>
  <c r="E264" i="4"/>
  <c r="B264" i="4"/>
  <c r="U263" i="4"/>
  <c r="K263" i="4"/>
  <c r="E263" i="4"/>
  <c r="B263" i="4"/>
  <c r="U262" i="4"/>
  <c r="K262" i="4"/>
  <c r="E262" i="4"/>
  <c r="B262" i="4"/>
  <c r="U261" i="4"/>
  <c r="K261" i="4"/>
  <c r="E261" i="4"/>
  <c r="B261" i="4"/>
  <c r="U260" i="4"/>
  <c r="K260" i="4"/>
  <c r="E260" i="4"/>
  <c r="B260" i="4"/>
  <c r="U259" i="4"/>
  <c r="K259" i="4"/>
  <c r="E259" i="4"/>
  <c r="B259" i="4"/>
  <c r="U258" i="4"/>
  <c r="K258" i="4"/>
  <c r="E258" i="4"/>
  <c r="B258" i="4"/>
  <c r="U257" i="4"/>
  <c r="K257" i="4"/>
  <c r="E257" i="4"/>
  <c r="B257" i="4"/>
  <c r="U256" i="4"/>
  <c r="K256" i="4"/>
  <c r="E256" i="4"/>
  <c r="B256" i="4"/>
  <c r="U255" i="4"/>
  <c r="K255" i="4"/>
  <c r="E255" i="4"/>
  <c r="B255" i="4"/>
  <c r="U254" i="4"/>
  <c r="K254" i="4"/>
  <c r="E254" i="4"/>
  <c r="B254" i="4"/>
  <c r="U253" i="4"/>
  <c r="K253" i="4"/>
  <c r="E253" i="4"/>
  <c r="B253" i="4"/>
  <c r="U252" i="4"/>
  <c r="K252" i="4"/>
  <c r="E252" i="4"/>
  <c r="B252" i="4"/>
  <c r="U251" i="4"/>
  <c r="K251" i="4"/>
  <c r="E251" i="4"/>
  <c r="B251" i="4"/>
  <c r="U250" i="4"/>
  <c r="K250" i="4"/>
  <c r="E250" i="4"/>
  <c r="B250" i="4"/>
  <c r="U249" i="4"/>
  <c r="K249" i="4"/>
  <c r="E249" i="4"/>
  <c r="B249" i="4"/>
  <c r="U248" i="4"/>
  <c r="K248" i="4"/>
  <c r="E248" i="4"/>
  <c r="B248" i="4"/>
  <c r="U247" i="4"/>
  <c r="K247" i="4"/>
  <c r="E247" i="4"/>
  <c r="B247" i="4"/>
  <c r="U246" i="4"/>
  <c r="K246" i="4"/>
  <c r="E246" i="4"/>
  <c r="B246" i="4"/>
  <c r="U245" i="4"/>
  <c r="K245" i="4"/>
  <c r="E245" i="4"/>
  <c r="B245" i="4"/>
  <c r="U244" i="4"/>
  <c r="K244" i="4"/>
  <c r="E244" i="4"/>
  <c r="B244" i="4"/>
  <c r="U243" i="4"/>
  <c r="K243" i="4"/>
  <c r="E243" i="4"/>
  <c r="B243" i="4"/>
  <c r="U242" i="4"/>
  <c r="K242" i="4"/>
  <c r="E242" i="4"/>
  <c r="B242" i="4"/>
  <c r="U241" i="4"/>
  <c r="K241" i="4"/>
  <c r="E241" i="4"/>
  <c r="B241" i="4"/>
  <c r="U240" i="4"/>
  <c r="K240" i="4"/>
  <c r="E240" i="4"/>
  <c r="B240" i="4"/>
  <c r="U239" i="4"/>
  <c r="K239" i="4"/>
  <c r="E239" i="4"/>
  <c r="B239" i="4"/>
  <c r="U238" i="4"/>
  <c r="K238" i="4"/>
  <c r="E238" i="4"/>
  <c r="B238" i="4"/>
  <c r="U237" i="4"/>
  <c r="K237" i="4"/>
  <c r="E237" i="4"/>
  <c r="B237" i="4"/>
  <c r="U236" i="4"/>
  <c r="K236" i="4"/>
  <c r="E236" i="4"/>
  <c r="B236" i="4"/>
  <c r="U235" i="4"/>
  <c r="K235" i="4"/>
  <c r="E235" i="4"/>
  <c r="B235" i="4"/>
  <c r="U234" i="4"/>
  <c r="K234" i="4"/>
  <c r="E234" i="4"/>
  <c r="B234" i="4"/>
  <c r="U233" i="4"/>
  <c r="K233" i="4"/>
  <c r="E233" i="4"/>
  <c r="B233" i="4"/>
  <c r="U232" i="4"/>
  <c r="K232" i="4"/>
  <c r="E232" i="4"/>
  <c r="B232" i="4"/>
  <c r="U231" i="4"/>
  <c r="K231" i="4"/>
  <c r="E231" i="4"/>
  <c r="B231" i="4"/>
  <c r="U230" i="4"/>
  <c r="K230" i="4"/>
  <c r="E230" i="4"/>
  <c r="B230" i="4"/>
  <c r="U229" i="4"/>
  <c r="K229" i="4"/>
  <c r="E229" i="4"/>
  <c r="B229" i="4"/>
  <c r="U228" i="4"/>
  <c r="K228" i="4"/>
  <c r="E228" i="4"/>
  <c r="B228" i="4"/>
  <c r="U227" i="4"/>
  <c r="K227" i="4"/>
  <c r="E227" i="4"/>
  <c r="B227" i="4"/>
  <c r="U226" i="4"/>
  <c r="K226" i="4"/>
  <c r="E226" i="4"/>
  <c r="B226" i="4"/>
  <c r="U225" i="4"/>
  <c r="K225" i="4"/>
  <c r="E225" i="4"/>
  <c r="B225" i="4"/>
  <c r="U224" i="4"/>
  <c r="K224" i="4"/>
  <c r="E224" i="4"/>
  <c r="B224" i="4"/>
  <c r="U223" i="4"/>
  <c r="K223" i="4"/>
  <c r="E223" i="4"/>
  <c r="B223" i="4"/>
  <c r="U222" i="4"/>
  <c r="K222" i="4"/>
  <c r="E222" i="4"/>
  <c r="B222" i="4"/>
  <c r="U221" i="4"/>
  <c r="K221" i="4"/>
  <c r="E221" i="4"/>
  <c r="B221" i="4"/>
  <c r="U220" i="4"/>
  <c r="K220" i="4"/>
  <c r="E220" i="4"/>
  <c r="B220" i="4"/>
  <c r="U219" i="4"/>
  <c r="K219" i="4"/>
  <c r="E219" i="4"/>
  <c r="B219" i="4"/>
  <c r="U218" i="4"/>
  <c r="K218" i="4"/>
  <c r="E218" i="4"/>
  <c r="B218" i="4"/>
  <c r="U217" i="4"/>
  <c r="K217" i="4"/>
  <c r="E217" i="4"/>
  <c r="B217" i="4"/>
  <c r="U216" i="4"/>
  <c r="K216" i="4"/>
  <c r="E216" i="4"/>
  <c r="B216" i="4"/>
  <c r="U215" i="4"/>
  <c r="K215" i="4"/>
  <c r="E215" i="4"/>
  <c r="B215" i="4"/>
  <c r="U214" i="4"/>
  <c r="K214" i="4"/>
  <c r="E214" i="4"/>
  <c r="B214" i="4"/>
  <c r="U213" i="4"/>
  <c r="K213" i="4"/>
  <c r="E213" i="4"/>
  <c r="B213" i="4"/>
  <c r="U212" i="4"/>
  <c r="K212" i="4"/>
  <c r="E212" i="4"/>
  <c r="B212" i="4"/>
  <c r="U211" i="4"/>
  <c r="K211" i="4"/>
  <c r="E211" i="4"/>
  <c r="B211" i="4"/>
  <c r="U210" i="4"/>
  <c r="K210" i="4"/>
  <c r="E210" i="4"/>
  <c r="B210" i="4"/>
  <c r="U209" i="4"/>
  <c r="K209" i="4"/>
  <c r="E209" i="4"/>
  <c r="B209" i="4"/>
  <c r="U208" i="4"/>
  <c r="K208" i="4"/>
  <c r="E208" i="4"/>
  <c r="B208" i="4"/>
  <c r="U207" i="4"/>
  <c r="K207" i="4"/>
  <c r="E207" i="4"/>
  <c r="B207" i="4"/>
  <c r="U206" i="4"/>
  <c r="K206" i="4"/>
  <c r="E206" i="4"/>
  <c r="B206" i="4"/>
  <c r="U205" i="4"/>
  <c r="K205" i="4"/>
  <c r="E205" i="4"/>
  <c r="B205" i="4"/>
  <c r="U204" i="4"/>
  <c r="K204" i="4"/>
  <c r="E204" i="4"/>
  <c r="B204" i="4"/>
  <c r="U203" i="4"/>
  <c r="K203" i="4"/>
  <c r="E203" i="4"/>
  <c r="B203" i="4"/>
  <c r="U202" i="4"/>
  <c r="K202" i="4"/>
  <c r="E202" i="4"/>
  <c r="B202" i="4"/>
  <c r="U201" i="4"/>
  <c r="K201" i="4"/>
  <c r="E201" i="4"/>
  <c r="B201" i="4"/>
  <c r="U200" i="4"/>
  <c r="K200" i="4"/>
  <c r="E200" i="4"/>
  <c r="B200" i="4"/>
  <c r="U199" i="4"/>
  <c r="K199" i="4"/>
  <c r="E199" i="4"/>
  <c r="B199" i="4"/>
  <c r="U198" i="4"/>
  <c r="K198" i="4"/>
  <c r="E198" i="4"/>
  <c r="B198" i="4"/>
  <c r="U197" i="4"/>
  <c r="K197" i="4"/>
  <c r="E197" i="4"/>
  <c r="B197" i="4"/>
  <c r="U196" i="4"/>
  <c r="K196" i="4"/>
  <c r="E196" i="4"/>
  <c r="B196" i="4"/>
  <c r="U195" i="4"/>
  <c r="K195" i="4"/>
  <c r="E195" i="4"/>
  <c r="B195" i="4"/>
  <c r="U194" i="4"/>
  <c r="K194" i="4"/>
  <c r="E194" i="4"/>
  <c r="B194" i="4"/>
  <c r="U193" i="4"/>
  <c r="K193" i="4"/>
  <c r="E193" i="4"/>
  <c r="B193" i="4"/>
  <c r="U192" i="4"/>
  <c r="K192" i="4"/>
  <c r="E192" i="4"/>
  <c r="B192" i="4"/>
  <c r="U191" i="4"/>
  <c r="K191" i="4"/>
  <c r="E191" i="4"/>
  <c r="B191" i="4"/>
  <c r="U190" i="4"/>
  <c r="K190" i="4"/>
  <c r="E190" i="4"/>
  <c r="B190" i="4"/>
  <c r="U189" i="4"/>
  <c r="K189" i="4"/>
  <c r="E189" i="4"/>
  <c r="B189" i="4"/>
  <c r="U188" i="4"/>
  <c r="K188" i="4"/>
  <c r="E188" i="4"/>
  <c r="B188" i="4"/>
  <c r="K187" i="4"/>
  <c r="E187" i="4"/>
  <c r="B187" i="4"/>
  <c r="U186" i="4"/>
  <c r="K186" i="4"/>
  <c r="E186" i="4"/>
  <c r="B186" i="4"/>
  <c r="U185" i="4"/>
  <c r="K185" i="4"/>
  <c r="E185" i="4"/>
  <c r="B185" i="4"/>
  <c r="U184" i="4"/>
  <c r="K184" i="4"/>
  <c r="E184" i="4"/>
  <c r="B184" i="4"/>
  <c r="U183" i="4"/>
  <c r="K183" i="4"/>
  <c r="E183" i="4"/>
  <c r="B183" i="4"/>
  <c r="U182" i="4"/>
  <c r="K182" i="4"/>
  <c r="E182" i="4"/>
  <c r="B182" i="4"/>
  <c r="U181" i="4"/>
  <c r="K181" i="4"/>
  <c r="E181" i="4"/>
  <c r="B181" i="4"/>
  <c r="U180" i="4"/>
  <c r="K180" i="4"/>
  <c r="E180" i="4"/>
  <c r="B180" i="4"/>
  <c r="U179" i="4"/>
  <c r="K179" i="4"/>
  <c r="E179" i="4"/>
  <c r="B179" i="4"/>
  <c r="U178" i="4"/>
  <c r="K178" i="4"/>
  <c r="E178" i="4"/>
  <c r="B178" i="4"/>
  <c r="K177" i="4"/>
  <c r="E177" i="4"/>
  <c r="B177" i="4"/>
  <c r="U176" i="4"/>
  <c r="K176" i="4"/>
  <c r="E176" i="4"/>
  <c r="B176" i="4"/>
  <c r="U175" i="4"/>
  <c r="K175" i="4"/>
  <c r="E175" i="4"/>
  <c r="B175" i="4"/>
  <c r="U174" i="4"/>
  <c r="K174" i="4"/>
  <c r="E174" i="4"/>
  <c r="B174" i="4"/>
  <c r="U173" i="4"/>
  <c r="K173" i="4"/>
  <c r="E173" i="4"/>
  <c r="B173" i="4"/>
  <c r="U172" i="4"/>
  <c r="K172" i="4"/>
  <c r="E172" i="4"/>
  <c r="B172" i="4"/>
  <c r="U171" i="4"/>
  <c r="K171" i="4"/>
  <c r="E171" i="4"/>
  <c r="B171" i="4"/>
  <c r="U170" i="4"/>
  <c r="K170" i="4"/>
  <c r="E170" i="4"/>
  <c r="B170" i="4"/>
  <c r="U169" i="4"/>
  <c r="K169" i="4"/>
  <c r="E169" i="4"/>
  <c r="B169" i="4"/>
  <c r="U168" i="4"/>
  <c r="K168" i="4"/>
  <c r="E168" i="4"/>
  <c r="B168" i="4"/>
  <c r="U167" i="4"/>
  <c r="K167" i="4"/>
  <c r="E167" i="4"/>
  <c r="B167" i="4"/>
  <c r="U166" i="4"/>
  <c r="K166" i="4"/>
  <c r="E166" i="4"/>
  <c r="B166" i="4"/>
  <c r="U165" i="4"/>
  <c r="K165" i="4"/>
  <c r="E165" i="4"/>
  <c r="B165" i="4"/>
  <c r="U164" i="4"/>
  <c r="K164" i="4"/>
  <c r="E164" i="4"/>
  <c r="B164" i="4"/>
  <c r="U163" i="4"/>
  <c r="K163" i="4"/>
  <c r="E163" i="4"/>
  <c r="B163" i="4"/>
  <c r="U162" i="4"/>
  <c r="K162" i="4"/>
  <c r="E162" i="4"/>
  <c r="B162" i="4"/>
  <c r="U161" i="4"/>
  <c r="K161" i="4"/>
  <c r="E161" i="4"/>
  <c r="B161" i="4"/>
  <c r="U160" i="4"/>
  <c r="K160" i="4"/>
  <c r="E160" i="4"/>
  <c r="B160" i="4"/>
  <c r="U159" i="4"/>
  <c r="K159" i="4"/>
  <c r="E159" i="4"/>
  <c r="B159" i="4"/>
  <c r="U158" i="4"/>
  <c r="K158" i="4"/>
  <c r="E158" i="4"/>
  <c r="B158" i="4"/>
  <c r="U157" i="4"/>
  <c r="K157" i="4"/>
  <c r="E157" i="4"/>
  <c r="B157" i="4"/>
  <c r="U156" i="4"/>
  <c r="K156" i="4"/>
  <c r="E156" i="4"/>
  <c r="B156" i="4"/>
  <c r="U155" i="4"/>
  <c r="K155" i="4"/>
  <c r="E155" i="4"/>
  <c r="B155" i="4"/>
  <c r="U154" i="4"/>
  <c r="K154" i="4"/>
  <c r="E154" i="4"/>
  <c r="B154" i="4"/>
  <c r="U153" i="4"/>
  <c r="K153" i="4"/>
  <c r="E153" i="4"/>
  <c r="B153" i="4"/>
  <c r="U152" i="4"/>
  <c r="K152" i="4"/>
  <c r="E152" i="4"/>
  <c r="B152" i="4"/>
  <c r="U151" i="4"/>
  <c r="K151" i="4"/>
  <c r="E151" i="4"/>
  <c r="B151" i="4"/>
  <c r="U150" i="4"/>
  <c r="K150" i="4"/>
  <c r="E150" i="4"/>
  <c r="B150" i="4"/>
  <c r="U149" i="4"/>
  <c r="K149" i="4"/>
  <c r="E149" i="4"/>
  <c r="B149" i="4"/>
  <c r="U148" i="4"/>
  <c r="K148" i="4"/>
  <c r="E148" i="4"/>
  <c r="B148" i="4"/>
  <c r="U147" i="4"/>
  <c r="K147" i="4"/>
  <c r="E147" i="4"/>
  <c r="B147" i="4"/>
  <c r="U146" i="4"/>
  <c r="K146" i="4"/>
  <c r="E146" i="4"/>
  <c r="B146" i="4"/>
  <c r="U145" i="4"/>
  <c r="K145" i="4"/>
  <c r="E145" i="4"/>
  <c r="B145" i="4"/>
  <c r="U144" i="4"/>
  <c r="K144" i="4"/>
  <c r="E144" i="4"/>
  <c r="B144" i="4"/>
  <c r="U143" i="4"/>
  <c r="K143" i="4"/>
  <c r="E143" i="4"/>
  <c r="B143" i="4"/>
  <c r="U142" i="4"/>
  <c r="K142" i="4"/>
  <c r="E142" i="4"/>
  <c r="B142" i="4"/>
  <c r="U141" i="4"/>
  <c r="K141" i="4"/>
  <c r="E141" i="4"/>
  <c r="B141" i="4"/>
  <c r="U140" i="4"/>
  <c r="K140" i="4"/>
  <c r="E140" i="4"/>
  <c r="B140" i="4"/>
  <c r="U139" i="4"/>
  <c r="K139" i="4"/>
  <c r="E139" i="4"/>
  <c r="B139" i="4"/>
  <c r="U138" i="4"/>
  <c r="K138" i="4"/>
  <c r="E138" i="4"/>
  <c r="B138" i="4"/>
  <c r="U137" i="4"/>
  <c r="K137" i="4"/>
  <c r="E137" i="4"/>
  <c r="B137" i="4"/>
  <c r="U136" i="4"/>
  <c r="K136" i="4"/>
  <c r="E136" i="4"/>
  <c r="B136" i="4"/>
  <c r="U135" i="4"/>
  <c r="K135" i="4"/>
  <c r="E135" i="4"/>
  <c r="B135" i="4"/>
  <c r="U134" i="4"/>
  <c r="K134" i="4"/>
  <c r="E134" i="4"/>
  <c r="B134" i="4"/>
  <c r="U133" i="4"/>
  <c r="K133" i="4"/>
  <c r="E133" i="4"/>
  <c r="B133" i="4"/>
  <c r="U132" i="4"/>
  <c r="K132" i="4"/>
  <c r="E132" i="4"/>
  <c r="B132" i="4"/>
  <c r="U131" i="4"/>
  <c r="K131" i="4"/>
  <c r="E131" i="4"/>
  <c r="B131" i="4"/>
  <c r="U130" i="4"/>
  <c r="K130" i="4"/>
  <c r="E130" i="4"/>
  <c r="B130" i="4"/>
  <c r="U129" i="4"/>
  <c r="K129" i="4"/>
  <c r="E129" i="4"/>
  <c r="B129" i="4"/>
  <c r="U128" i="4"/>
  <c r="K128" i="4"/>
  <c r="E128" i="4"/>
  <c r="B128" i="4"/>
  <c r="U127" i="4"/>
  <c r="K127" i="4"/>
  <c r="E127" i="4"/>
  <c r="B127" i="4"/>
  <c r="U126" i="4"/>
  <c r="K126" i="4"/>
  <c r="E126" i="4"/>
  <c r="B126" i="4"/>
  <c r="U125" i="4"/>
  <c r="K125" i="4"/>
  <c r="E125" i="4"/>
  <c r="B125" i="4"/>
  <c r="U124" i="4"/>
  <c r="K124" i="4"/>
  <c r="E124" i="4"/>
  <c r="B124" i="4"/>
  <c r="U123" i="4"/>
  <c r="K123" i="4"/>
  <c r="E123" i="4"/>
  <c r="B123" i="4"/>
  <c r="U122" i="4"/>
  <c r="K122" i="4"/>
  <c r="E122" i="4"/>
  <c r="B122" i="4"/>
  <c r="U121" i="4"/>
  <c r="K121" i="4"/>
  <c r="E121" i="4"/>
  <c r="B121" i="4"/>
  <c r="U120" i="4"/>
  <c r="K120" i="4"/>
  <c r="E120" i="4"/>
  <c r="B120" i="4"/>
  <c r="U119" i="4"/>
  <c r="K119" i="4"/>
  <c r="E119" i="4"/>
  <c r="B119" i="4"/>
  <c r="U118" i="4"/>
  <c r="K118" i="4"/>
  <c r="E118" i="4"/>
  <c r="B118" i="4"/>
  <c r="U117" i="4"/>
  <c r="K117" i="4"/>
  <c r="E117" i="4"/>
  <c r="B117" i="4"/>
  <c r="U116" i="4"/>
  <c r="K116" i="4"/>
  <c r="E116" i="4"/>
  <c r="B116" i="4"/>
  <c r="U115" i="4"/>
  <c r="K115" i="4"/>
  <c r="E115" i="4"/>
  <c r="B115" i="4"/>
  <c r="U114" i="4"/>
  <c r="K114" i="4"/>
  <c r="E114" i="4"/>
  <c r="B114" i="4"/>
  <c r="U113" i="4"/>
  <c r="K113" i="4"/>
  <c r="E113" i="4"/>
  <c r="B113" i="4"/>
  <c r="U112" i="4"/>
  <c r="K112" i="4"/>
  <c r="E112" i="4"/>
  <c r="B112" i="4"/>
  <c r="U111" i="4"/>
  <c r="K111" i="4"/>
  <c r="E111" i="4"/>
  <c r="B111" i="4"/>
  <c r="U110" i="4"/>
  <c r="K110" i="4"/>
  <c r="E110" i="4"/>
  <c r="B110" i="4"/>
  <c r="U109" i="4"/>
  <c r="K109" i="4"/>
  <c r="E109" i="4"/>
  <c r="B109" i="4"/>
  <c r="U108" i="4"/>
  <c r="K108" i="4"/>
  <c r="E108" i="4"/>
  <c r="B108" i="4"/>
  <c r="U107" i="4"/>
  <c r="K107" i="4"/>
  <c r="E107" i="4"/>
  <c r="B107" i="4"/>
  <c r="U106" i="4"/>
  <c r="K106" i="4"/>
  <c r="E106" i="4"/>
  <c r="B106" i="4"/>
  <c r="U105" i="4"/>
  <c r="K105" i="4"/>
  <c r="E105" i="4"/>
  <c r="B105" i="4"/>
  <c r="U104" i="4"/>
  <c r="K104" i="4"/>
  <c r="E104" i="4"/>
  <c r="B104" i="4"/>
  <c r="U103" i="4"/>
  <c r="K103" i="4"/>
  <c r="E103" i="4"/>
  <c r="B103" i="4"/>
  <c r="U102" i="4"/>
  <c r="K102" i="4"/>
  <c r="E102" i="4"/>
  <c r="B102" i="4"/>
  <c r="U101" i="4"/>
  <c r="K101" i="4"/>
  <c r="E101" i="4"/>
  <c r="B101" i="4"/>
  <c r="U100" i="4"/>
  <c r="K100" i="4"/>
  <c r="E100" i="4"/>
  <c r="B100" i="4"/>
  <c r="U99" i="4"/>
  <c r="K99" i="4"/>
  <c r="E99" i="4"/>
  <c r="B99" i="4"/>
  <c r="U98" i="4"/>
  <c r="K98" i="4"/>
  <c r="E98" i="4"/>
  <c r="B98" i="4"/>
  <c r="U97" i="4"/>
  <c r="K97" i="4"/>
  <c r="E97" i="4"/>
  <c r="B97" i="4"/>
  <c r="U96" i="4"/>
  <c r="K96" i="4"/>
  <c r="E96" i="4"/>
  <c r="B96" i="4"/>
  <c r="U95" i="4"/>
  <c r="K95" i="4"/>
  <c r="E95" i="4"/>
  <c r="B95" i="4"/>
  <c r="U94" i="4"/>
  <c r="K94" i="4"/>
  <c r="E94" i="4"/>
  <c r="B94" i="4"/>
  <c r="U93" i="4"/>
  <c r="K93" i="4"/>
  <c r="E93" i="4"/>
  <c r="B93" i="4"/>
  <c r="U92" i="4"/>
  <c r="K92" i="4"/>
  <c r="E92" i="4"/>
  <c r="B92" i="4"/>
  <c r="U91" i="4"/>
  <c r="K91" i="4"/>
  <c r="E91" i="4"/>
  <c r="B91" i="4"/>
  <c r="U90" i="4"/>
  <c r="K90" i="4"/>
  <c r="E90" i="4"/>
  <c r="B90" i="4"/>
  <c r="U89" i="4"/>
  <c r="K89" i="4"/>
  <c r="E89" i="4"/>
  <c r="B89" i="4"/>
  <c r="U88" i="4"/>
  <c r="K88" i="4"/>
  <c r="E88" i="4"/>
  <c r="B88" i="4"/>
  <c r="U87" i="4"/>
  <c r="K87" i="4"/>
  <c r="E87" i="4"/>
  <c r="B87" i="4"/>
  <c r="U86" i="4"/>
  <c r="K86" i="4"/>
  <c r="E86" i="4"/>
  <c r="B86" i="4"/>
  <c r="U85" i="4"/>
  <c r="K85" i="4"/>
  <c r="E85" i="4"/>
  <c r="B85" i="4"/>
  <c r="U84" i="4"/>
  <c r="K84" i="4"/>
  <c r="E84" i="4"/>
  <c r="B84" i="4"/>
  <c r="U83" i="4"/>
  <c r="K83" i="4"/>
  <c r="E83" i="4"/>
  <c r="B83" i="4"/>
  <c r="U82" i="4"/>
  <c r="K82" i="4"/>
  <c r="E82" i="4"/>
  <c r="B82" i="4"/>
  <c r="U81" i="4"/>
  <c r="K81" i="4"/>
  <c r="E81" i="4"/>
  <c r="B81" i="4"/>
  <c r="U80" i="4"/>
  <c r="K80" i="4"/>
  <c r="E80" i="4"/>
  <c r="B80" i="4"/>
  <c r="U79" i="4"/>
  <c r="K79" i="4"/>
  <c r="E79" i="4"/>
  <c r="B79" i="4"/>
  <c r="U78" i="4"/>
  <c r="K78" i="4"/>
  <c r="E78" i="4"/>
  <c r="B78" i="4"/>
  <c r="U77" i="4"/>
  <c r="K77" i="4"/>
  <c r="E77" i="4"/>
  <c r="B77" i="4"/>
  <c r="U76" i="4"/>
  <c r="K76" i="4"/>
  <c r="E76" i="4"/>
  <c r="B76" i="4"/>
  <c r="U75" i="4"/>
  <c r="K75" i="4"/>
  <c r="E75" i="4"/>
  <c r="B75" i="4"/>
  <c r="U74" i="4"/>
  <c r="K74" i="4"/>
  <c r="E74" i="4"/>
  <c r="B74" i="4"/>
  <c r="U73" i="4"/>
  <c r="K73" i="4"/>
  <c r="E73" i="4"/>
  <c r="B73" i="4"/>
  <c r="U72" i="4"/>
  <c r="K72" i="4"/>
  <c r="E72" i="4"/>
  <c r="B72" i="4"/>
  <c r="U71" i="4"/>
  <c r="K71" i="4"/>
  <c r="E71" i="4"/>
  <c r="B71" i="4"/>
  <c r="U70" i="4"/>
  <c r="K70" i="4"/>
  <c r="E70" i="4"/>
  <c r="B70" i="4"/>
  <c r="U69" i="4"/>
  <c r="K69" i="4"/>
  <c r="E69" i="4"/>
  <c r="B69" i="4"/>
  <c r="U68" i="4"/>
  <c r="K68" i="4"/>
  <c r="E68" i="4"/>
  <c r="B68" i="4"/>
  <c r="U67" i="4"/>
  <c r="K67" i="4"/>
  <c r="E67" i="4"/>
  <c r="B67" i="4"/>
  <c r="U66" i="4"/>
  <c r="K66" i="4"/>
  <c r="E66" i="4"/>
  <c r="B66" i="4"/>
  <c r="U65" i="4"/>
  <c r="K65" i="4"/>
  <c r="E65" i="4"/>
  <c r="B65" i="4"/>
  <c r="U64" i="4"/>
  <c r="K64" i="4"/>
  <c r="E64" i="4"/>
  <c r="B64" i="4"/>
  <c r="U63" i="4"/>
  <c r="K63" i="4"/>
  <c r="E63" i="4"/>
  <c r="B63" i="4"/>
  <c r="U62" i="4"/>
  <c r="K62" i="4"/>
  <c r="E62" i="4"/>
  <c r="B62" i="4"/>
  <c r="U61" i="4"/>
  <c r="K61" i="4"/>
  <c r="E61" i="4"/>
  <c r="B61" i="4"/>
  <c r="U60" i="4"/>
  <c r="K60" i="4"/>
  <c r="E60" i="4"/>
  <c r="B60" i="4"/>
  <c r="U59" i="4"/>
  <c r="K59" i="4"/>
  <c r="E59" i="4"/>
  <c r="B59" i="4"/>
  <c r="U58" i="4"/>
  <c r="K58" i="4"/>
  <c r="E58" i="4"/>
  <c r="B58" i="4"/>
  <c r="U57" i="4"/>
  <c r="K57" i="4"/>
  <c r="E57" i="4"/>
  <c r="B57" i="4"/>
  <c r="U56" i="4"/>
  <c r="K56" i="4"/>
  <c r="E56" i="4"/>
  <c r="B56" i="4"/>
  <c r="U55" i="4"/>
  <c r="K55" i="4"/>
  <c r="E55" i="4"/>
  <c r="B55" i="4"/>
  <c r="U54" i="4"/>
  <c r="K54" i="4"/>
  <c r="E54" i="4"/>
  <c r="B54" i="4"/>
  <c r="U53" i="4"/>
  <c r="K53" i="4"/>
  <c r="E53" i="4"/>
  <c r="B53" i="4"/>
  <c r="U52" i="4"/>
  <c r="K52" i="4"/>
  <c r="H52" i="4"/>
  <c r="E52" i="4"/>
  <c r="B52" i="4"/>
  <c r="U51" i="4"/>
  <c r="K51" i="4"/>
  <c r="E51" i="4"/>
  <c r="B51" i="4"/>
  <c r="U50" i="4"/>
  <c r="K50" i="4"/>
  <c r="E50" i="4"/>
  <c r="B50" i="4"/>
  <c r="U49" i="4"/>
  <c r="K49" i="4"/>
  <c r="E49" i="4"/>
  <c r="B49" i="4"/>
  <c r="U48" i="4"/>
  <c r="K48" i="4"/>
  <c r="E48" i="4"/>
  <c r="B48" i="4"/>
  <c r="U47" i="4"/>
  <c r="K47" i="4"/>
  <c r="E47" i="4"/>
  <c r="B47" i="4"/>
  <c r="U46" i="4"/>
  <c r="K46" i="4"/>
  <c r="E46" i="4"/>
  <c r="B46" i="4"/>
  <c r="U45" i="4"/>
  <c r="K45" i="4"/>
  <c r="E45" i="4"/>
  <c r="B45" i="4"/>
  <c r="U44" i="4"/>
  <c r="K44" i="4"/>
  <c r="E44" i="4"/>
  <c r="B44" i="4"/>
  <c r="U43" i="4"/>
  <c r="K43" i="4"/>
  <c r="E43" i="4"/>
  <c r="B43" i="4"/>
  <c r="U42" i="4"/>
  <c r="K42" i="4"/>
  <c r="E42" i="4"/>
  <c r="B42" i="4"/>
  <c r="U41" i="4"/>
  <c r="K41" i="4"/>
  <c r="E41" i="4"/>
  <c r="B41" i="4"/>
  <c r="U40" i="4"/>
  <c r="K40" i="4"/>
  <c r="E40" i="4"/>
  <c r="B40" i="4"/>
  <c r="U39" i="4"/>
  <c r="K39" i="4"/>
  <c r="E39" i="4"/>
  <c r="B39" i="4"/>
  <c r="U38" i="4"/>
  <c r="K38" i="4"/>
  <c r="E38" i="4"/>
  <c r="B38" i="4"/>
  <c r="U37" i="4"/>
  <c r="K37" i="4"/>
  <c r="E37" i="4"/>
  <c r="B37" i="4"/>
  <c r="U36" i="4"/>
  <c r="K36" i="4"/>
  <c r="E36" i="4"/>
  <c r="B36" i="4"/>
  <c r="U35" i="4"/>
  <c r="K35" i="4"/>
  <c r="E35" i="4"/>
  <c r="B35" i="4"/>
  <c r="U34" i="4"/>
  <c r="K34" i="4"/>
  <c r="E34" i="4"/>
  <c r="B34" i="4"/>
  <c r="U33" i="4"/>
  <c r="K33" i="4"/>
  <c r="E33" i="4"/>
  <c r="B33" i="4"/>
  <c r="U32" i="4"/>
  <c r="K32" i="4"/>
  <c r="E32" i="4"/>
  <c r="B32" i="4"/>
  <c r="U31" i="4"/>
  <c r="K31" i="4"/>
  <c r="E31" i="4"/>
  <c r="B31" i="4"/>
  <c r="U30" i="4"/>
  <c r="K30" i="4"/>
  <c r="E30" i="4"/>
  <c r="B30" i="4"/>
  <c r="U29" i="4"/>
  <c r="K29" i="4"/>
  <c r="E29" i="4"/>
  <c r="B29" i="4"/>
  <c r="U28" i="4"/>
  <c r="K28" i="4"/>
  <c r="E28" i="4"/>
  <c r="B28" i="4"/>
  <c r="U27" i="4"/>
  <c r="K27" i="4"/>
  <c r="E27" i="4"/>
  <c r="B27" i="4"/>
  <c r="U26" i="4"/>
  <c r="K26" i="4"/>
  <c r="E26" i="4"/>
  <c r="B26" i="4"/>
  <c r="U25" i="4"/>
  <c r="K25" i="4"/>
  <c r="E25" i="4"/>
  <c r="B25" i="4"/>
  <c r="U24" i="4"/>
  <c r="K24" i="4"/>
  <c r="E24" i="4"/>
  <c r="B24" i="4"/>
  <c r="U23" i="4"/>
  <c r="K23" i="4"/>
  <c r="E23" i="4"/>
  <c r="B23" i="4"/>
  <c r="U22" i="4"/>
  <c r="K22" i="4"/>
  <c r="E22" i="4"/>
  <c r="B22" i="4"/>
  <c r="U21" i="4"/>
  <c r="K21" i="4"/>
  <c r="E21" i="4"/>
  <c r="B21" i="4"/>
  <c r="U20" i="4"/>
  <c r="K20" i="4"/>
  <c r="E20" i="4"/>
  <c r="B20" i="4"/>
  <c r="U19" i="4"/>
  <c r="K19" i="4"/>
  <c r="E19" i="4"/>
  <c r="B19" i="4"/>
  <c r="U18" i="4"/>
  <c r="K18" i="4"/>
  <c r="E18" i="4"/>
  <c r="B18" i="4"/>
  <c r="U17" i="4"/>
  <c r="K17" i="4"/>
  <c r="E17" i="4"/>
  <c r="B17" i="4"/>
  <c r="U16" i="4"/>
  <c r="K16" i="4"/>
  <c r="E16" i="4"/>
  <c r="B16" i="4"/>
  <c r="U15" i="4"/>
  <c r="K15" i="4"/>
  <c r="E15" i="4"/>
  <c r="B15" i="4"/>
  <c r="U14" i="4"/>
  <c r="K14" i="4"/>
  <c r="E14" i="4"/>
  <c r="B14" i="4"/>
  <c r="U13" i="4"/>
  <c r="K13" i="4"/>
  <c r="E13" i="4"/>
  <c r="B13" i="4"/>
  <c r="U12" i="4"/>
  <c r="K12" i="4"/>
  <c r="E12" i="4"/>
  <c r="B12" i="4"/>
  <c r="U11" i="4"/>
  <c r="K11" i="4"/>
  <c r="E11" i="4"/>
  <c r="B11" i="4"/>
  <c r="U10" i="4"/>
  <c r="K10" i="4"/>
  <c r="E10" i="4"/>
  <c r="B10" i="4"/>
  <c r="U9" i="4"/>
  <c r="K9" i="4"/>
  <c r="E9" i="4"/>
  <c r="B9" i="4"/>
  <c r="U8" i="4"/>
  <c r="K8" i="4"/>
  <c r="E8" i="4"/>
  <c r="B8" i="4"/>
  <c r="U7" i="4"/>
  <c r="K7" i="4"/>
  <c r="E7" i="4"/>
  <c r="B7" i="4"/>
  <c r="U6" i="4"/>
  <c r="K6" i="4"/>
  <c r="E6" i="4"/>
  <c r="B6" i="4"/>
  <c r="U5" i="4"/>
  <c r="K5" i="4"/>
  <c r="E5" i="4"/>
  <c r="B5" i="4"/>
  <c r="U4" i="4"/>
  <c r="K4" i="4"/>
  <c r="E4" i="4"/>
  <c r="B4" i="4"/>
  <c r="U3" i="4"/>
  <c r="K3" i="4"/>
  <c r="E3" i="4"/>
  <c r="B3" i="4"/>
</calcChain>
</file>

<file path=xl/sharedStrings.xml><?xml version="1.0" encoding="utf-8"?>
<sst xmlns="http://schemas.openxmlformats.org/spreadsheetml/2006/main" count="12154" uniqueCount="8645">
  <si>
    <t>Date</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</si>
  <si>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</si>
  <si>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</si>
  <si>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</si>
  <si>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</si>
  <si>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</si>
  <si>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</si>
  <si>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</si>
  <si>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</si>
  <si>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</si>
  <si>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</si>
  <si>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</si>
  <si>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</si>
  <si>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</si>
  <si>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</si>
  <si>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</si>
  <si>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</si>
  <si>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</si>
  <si>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</si>
  <si>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</si>
  <si>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</si>
  <si>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Twitter Query: Albert Rivera lang:es -filter:retweets -filter:replies</t>
  </si>
  <si>
    <t>DivulgaMadrid</t>
  </si>
  <si>
    <t>Oye @Albert_Rivera ¿cómo se puede tener ese colegueo con los intolerantes que quieren destrozarle la vida a los homosexuales?</t>
  </si>
  <si>
    <t>Pol Vergara</t>
  </si>
  <si>
    <t>No, no es Venezuela, son tus compis ni de izquierdas ni de derechas franceses @Albert_Rivera RT @_ju1_: Un chaval de 15 años. Macron, pagarás, criminal</t>
  </si>
  <si>
    <t>LexTresAbogados</t>
  </si>
  <si>
    <t>https://twitter.com/_ju1_/status/1071170784440258561
https://twitter.com/Obs_Violences/status/1071034606143619072</t>
  </si>
  <si>
    <t>pic.twitter.com/uBe9gIQSSE</t>
  </si>
  <si>
    <t>Madrid</t>
  </si>
  <si>
    <t>Enseñanza y divulgación científica en la Comunidad de Madrid</t>
  </si>
  <si>
    <t>Santa Coloma de Gramenet</t>
  </si>
  <si>
    <t>Pol Vergafe para los amigos, por algo será. Apasionado de la 3div5. Psicología UB. Con la neurociencia sale mi vena friki.</t>
  </si>
  <si>
    <t>http://divulgamadrid.blogspot.com.es/</t>
  </si>
  <si>
    <t>https://www.facebook.com/pol.vergaragimenez</t>
  </si>
  <si>
    <t>Valencia, España</t>
  </si>
  <si>
    <t>#LexTresAbogados prestamos: #servicios de #auditoría #asesoramiento #legal #fiscal #Laboral #financiero y de #negocio con una clara #focalización #sectorial</t>
  </si>
  <si>
    <t>http://www.lextres.com</t>
  </si>
  <si>
    <t>Toñu IGLESIAS</t>
  </si>
  <si>
    <t>.@Albert_Rivera: No permita que los corruptos del @PSOE sigan gobernando #Andalucia. Sea generoso, únase a @PPopular y @vox_es para echarlos de una vez. Si no lo hace, no se lo perdonaré @Cs_Andalucia #FueraPSOE. FIRMA:</t>
  </si>
  <si>
    <t>http://www.citizengo.org/hazteoir/pc/167099-al-psoe-ni-agua-sr-rivera?tc=tw&amp;tcid=52583175</t>
  </si>
  <si>
    <t>Asturias</t>
  </si>
  <si>
    <t>✅</t>
  </si>
  <si>
    <t>jose piresfc_</t>
  </si>
  <si>
    <t>Si sto fuera en Venezuela o Grecia ufff..... Pero no son las politicas del @Albert_Rivera Frances que tiene BOCABAJO o PATARRIBAS la segunda potencia EUROPEA. RT @OliverMontcada: 🇫🇷 Muy pendiente de lo que sucede en #París. Las políticas neoliberales de Macron siguen generando desigualdad, la movilización ciudadana es clave para acabar con estas políticas que crean cada vez más pobreza! #ChalecosAmarillos</t>
  </si>
  <si>
    <t>Aguilera P francisco</t>
  </si>
  <si>
    <t>Albert Rivera tiene un plan para pactar con Vox sin enfadar a sus socios europeos  vía @ecd_</t>
  </si>
  <si>
    <t>https://www.elconfidencialdigital.com/articulo/politica/albert-rivera-tiene-plan-pactar-vox-enfadar-socios-europeos/20181207212045119111.html</t>
  </si>
  <si>
    <t>https://twitter.com/OliverMontcada/status/1071419786163306496</t>
  </si>
  <si>
    <t>Juan Gabalaui</t>
  </si>
  <si>
    <t>https://pbs.twimg.com/media/Dt5ymzXWsAcvnNw.jpg</t>
  </si>
  <si>
    <t>http://page.is/aguilera-p-francisc</t>
  </si>
  <si>
    <t>Generacion del 74,Sevillista de los Biris Campeon... y Macareno desde la cuna,padre en el 92 y el 2000;abuelo en 2015 y un motivo más para no dejar de LUCHAR.</t>
  </si>
  <si>
    <t>Escribo en el blog El Kaleidoskopio de Gabalaui sobre política y derechos humanos desde el año 2009</t>
  </si>
  <si>
    <t>https://kaleidoskopiodegabalaui.com/</t>
  </si>
  <si>
    <t>Javier Mercadé</t>
  </si>
  <si>
    <t>Zapper News App</t>
  </si>
  <si>
    <t>http://www.citizengo.org/hazteoir/pc/167099-al-psoe-ni-agua-sr-rivera?tc=tw&amp;tcid=52582936</t>
  </si>
  <si>
    <t>Lleida</t>
  </si>
  <si>
    <t>Soy catalán, y por ello español. Totalmente en contra del proceso separatista. Sóc català i per tant espanyol. Totalment en contra del procés separatista</t>
  </si>
  <si>
    <t>Madrid, Comunidad de Madrid</t>
  </si>
  <si>
    <t>¿Eres de derechas o de izquierdas? Elige tus periódicos en http://www.zapper.news 📊📰🗺️ | Conoce nuestro Buscador de noticias: http://www.zapper.news/search</t>
  </si>
  <si>
    <t>http://www.zapper.news</t>
  </si>
  <si>
    <t>Juan Molina Gómez</t>
  </si>
  <si>
    <t>Lo que es una vergüenza Sr.@Albert_Rivera que permitan que partidos de dudosa ideología democrática vayan a gobernar con su beneplácito y beneficiándose Usted y su partido en Andalucía. Tanta ansia de poder tiene que va acabar devorándose a si mismo RT @Albert_Rivera: Es una vergüenza que los comandos separatistas que cortan carreteras y acosan a ciudadanos tengan el apoyo de Torra y este a su vez pretenda purgar a los Mossos que hacen cumplir la ley. Mientras, Sánchez mirando hacia otro lado para que sus socios no le desalojen de La Moncloa.</t>
  </si>
  <si>
    <t>https://twitter.com/Albert_Rivera/status/1071382498867900416
https://twitter.com/24h_tve/status/1071377177449562112</t>
  </si>
  <si>
    <t>Ripollet</t>
  </si>
  <si>
    <t>Licenciado Derecho. MBA Dirección y Administración de Empresas. Socialista. Tu verdad aumentará en la medida que sepas escuchar la verdad de los otros. MLK</t>
  </si>
  <si>
    <t>Jaime de Berenguer</t>
  </si>
  <si>
    <t>Albert Rivera decía que era el Macron español. Supongo que ahora que está por los suelos ya no lo dirá. Menudo papanatas es este Albert Rivera 😄</t>
  </si>
  <si>
    <t>https://pbs.twimg.com/media/Dt5-XgcXgAEi7T0.jpg</t>
  </si>
  <si>
    <t>Jose Manuel</t>
  </si>
  <si>
    <t>Yo no veo esas cosas... Desde luego. Estoy muy harto de las hembristas, su hipocresía, sus engaños, su tiranía y su dictadura. #Existen #UngaUngaArmy #CustodiaCompartida #noalindulto @Genmad @Santi_ABASCAL @vox_es @Albert_Rivera @pablocasado_ @Tonicanto1 RT @LElJusticiero: @MovistarPlus, nos vamos a ir dando de baja muchos usuarios hasta q no le deis la patada a esta hembrista de vuestra parrilla... Gracias. 😉 #BoicotMovistarPlus</t>
  </si>
  <si>
    <t>Digo lo que pienso, a veces me equivoco. “Hay que apartar de nosotros el mal gusto de querer coincidir con muchos” Nietzsche.Liberal. Concejal de Madrid 2011-15</t>
  </si>
  <si>
    <t>https://twitter.com/LElJusticiero/status/1071346116212523008
https://twitter.com/LeticiaDolera/status/1071090793560051714</t>
  </si>
  <si>
    <t>Josh catle</t>
  </si>
  <si>
    <t>Emmanuel Macron visto por Albert Rivera.  Macron el espejo de Rivera. Remembered!</t>
  </si>
  <si>
    <t>http://lab.elmundo.es/emmanuel-macron/albert-rivera.html</t>
  </si>
  <si>
    <t>Països Catalans</t>
  </si>
  <si>
    <t>Arquímedes de Siracusa.</t>
  </si>
  <si>
    <t>Albert Rivera en VI Escuela de Verano DENAES 2012 📣 CORRUPCIÓN JUDICIAL,</t>
  </si>
  <si>
    <t>Uri ||*||</t>
  </si>
  <si>
    <t>Buenas tardes @galceran_montse , @ManuelaCarmena , @provivienda_org , @emvsmadrid , @CasaReal , @sanchezcastejon , @pablocasado_ , @Albert_Rivera , @InesArrimadas , @Santi_ABASCAL Le echáis un vistazo a esto, ¿¿¿POR FAVOR??? "GRACIAS."  #stopdesahuciosRT @alwaysfree86: Mi desahucio terminará de la peor de las maneras..SUICIDIO @galceran_montse @ManuelaCarmena @provivienda_org @emvsmadrid @La1_tve @antena3com @cuatro @telemadrid @telecincoes @laSextaTV @MADRID @ComunidadMadrid @JMDTetuan @Tetuan30Dias @Invisibles_T @OSTetuan</t>
  </si>
  <si>
    <t>Barcelona</t>
  </si>
  <si>
    <t>https://youtu.be/V9YYQDqha-Q?hpj66=8034762085</t>
  </si>
  <si>
    <t>https://twitter.com/alwaysfree86/status/1070299080906211329?s=19</t>
  </si>
  <si>
    <t>pic.twitter.com/x2YQ2k8WrQ</t>
  </si>
  <si>
    <t>Planeta Tierra</t>
  </si>
  <si>
    <t>Soy físico, ingeniero, inventor, astrónomo y matemático. Se conocen pocos detalles de mi vida, pero estoy considerado uno de los científicos más importantes.</t>
  </si>
  <si>
    <t>Euskal Herria</t>
  </si>
  <si>
    <t>Jesús Ortega</t>
  </si>
  <si>
    <t>Albert Rivera tiene un plan para pactar con Vox sin enfadar a sus socios europeos</t>
  </si>
  <si>
    <t>Teresa 🇪🇸</t>
  </si>
  <si>
    <t>Manuel Valls, “el infiltrado”  @Albert_Rivera Porqué Ciudadanos tiene que gobernar con PP y VOX</t>
  </si>
  <si>
    <t>http://somosecd.com/kk_a64</t>
  </si>
  <si>
    <t>https://okdiario.com/opinion/2018/12/07/manuel-valls-infiltrado-3440375#.XAvcEzAg4YA.twitter</t>
  </si>
  <si>
    <t>Periodista. Aprovecho mi cuenta en Twitter para compartir las noticias que escribo en El Confidencial Digital y también comentar los temas de actualidad</t>
  </si>
  <si>
    <t>Ramón Fernández</t>
  </si>
  <si>
    <t>Zarzalejos: “Rivera, no con Vox”.</t>
  </si>
  <si>
    <t xml:space="preserve">Planeta Azul Tabarnia </t>
  </si>
  <si>
    <t>🇪🇸 Una apasionada de viajar, la aventura, el mar... Me encanta escaparme por Asia, Formentera, La Palma.... ¡Viaja conmigo! #coolclubbing</t>
  </si>
  <si>
    <t>https://blogs.elconfidencial.com/espana/notebook/2018-12-08/vox-albert-rivera-pactos-andalucia-centro-europeista_1692818/</t>
  </si>
  <si>
    <t>Madrid - Cantabria</t>
  </si>
  <si>
    <t>Economista y abogado del diablo en ocasiones. “Los principios solo son principios de verdad si aplicarlos te cuesta dinero”.</t>
  </si>
  <si>
    <t>0v0</t>
  </si>
  <si>
    <t>Aquí, cómo se las gasta el amiguito de @Albert_Rivera RT @ernesturtasun: Alguien que trata así a sus estudiantes no tiene legitimidad alguna para erigirse en defensor de las libertades y el estado de derecho. #Macron</t>
  </si>
  <si>
    <t>JoCastela</t>
  </si>
  <si>
    <t>Ya está todo pensado para que C's no quede como socio de VOX ni delante de Europa ni del electorado:</t>
  </si>
  <si>
    <t>https://twitter.com/ernesturtasun/status/1071325303253934080</t>
  </si>
  <si>
    <t>pic.twitter.com/BdkKoljKy0</t>
  </si>
  <si>
    <t>Salamanca - Cáceres, ES</t>
  </si>
  <si>
    <t>Aún soy muy joven para tener biografía. De momento solo sé que me queda mucho por vivir.</t>
  </si>
  <si>
    <t>http://www.blogdejocastela.blogspot.com.es</t>
  </si>
  <si>
    <t>Miembro del Consejo Ciudadano de Podemos Cantabria y coordinador del área de educación</t>
  </si>
  <si>
    <t>El HuffPost</t>
  </si>
  <si>
    <t>El dardo de Bertín Osborne del que sólo se salvan Albert Rivera y Pablo Casado</t>
  </si>
  <si>
    <t>https://www.huffingtonpost.es/2018/12/07/el-dardo-de-bertin-osborne-a-gabriel-rufian-y-pablo-iglesias-espana-es-el-pais-con-mas-politicos-idiotas-por-metro-cuadrado_a_23611885/?utm_hp_ref=es-homepage</t>
  </si>
  <si>
    <t>Enrique Skywalker 🥚🥚</t>
  </si>
  <si>
    <t>En definitiva.... @Albert_Rivera</t>
  </si>
  <si>
    <t>Madrid, Spain</t>
  </si>
  <si>
    <t>▶Facebook http://bit.ly/1sDqXwu ▶Telegram http://bit.ly/1sDriPC ▶Android http://bit.ly/1NcE6TE ▶iOS http://bit.ly/1AokTa1</t>
  </si>
  <si>
    <t>http://www.huffingtonpost.es</t>
  </si>
  <si>
    <t>https://pbs.twimg.com/media/Dt5vuBWWoAELXP_.jpg</t>
  </si>
  <si>
    <t>DMarzal 🏳️‍🌈</t>
  </si>
  <si>
    <t>¿Recordáis de cuando decían que Macron era el Albert Rivera francés? ¿O era al revés?</t>
  </si>
  <si>
    <t>Málaga (España)</t>
  </si>
  <si>
    <t>#6 #IAANS #LS #Ilovethedoubletime #LukeSkyWalker_Personality #lover #AnImperfectProtestant☀️</t>
  </si>
  <si>
    <t>http://enriquefcomaldo.wordpress.com/blog/</t>
  </si>
  <si>
    <t>Santa Eulària des Riu, Espanya</t>
  </si>
  <si>
    <t>Voy a portarme bien.</t>
  </si>
  <si>
    <t>carmen muguruza</t>
  </si>
  <si>
    <t>El desafío ⁦@veroprial⁩ ⁦@MARISALOFERRER⁩ ⁦@barja_oscar⁩</t>
  </si>
  <si>
    <t>Antonio Dominguez</t>
  </si>
  <si>
    <t>.@Albert_Rivera @Santi_ABASCAL @pablocasado_ esto no puede seguir así !! #EleccionesYa #AP7 RT @guarge: @sanchezcastejon vergonzoso que no podamos volver tranquilos a casa después de un gran torneo en Sant Boi, por culpa de los cortes en la Ap7 y nos encontremos atrapados dentro de un autobús el equipo entero 😡😡😡</t>
  </si>
  <si>
    <t>las rozas de madrid</t>
  </si>
  <si>
    <t>Ph.D. en Geografía Profesora Titular de Universidad Ciudadana Cs Las Rozas🧡🍊🧡</t>
  </si>
  <si>
    <t>https://twitter.com/guarge/status/1071415889168359424</t>
  </si>
  <si>
    <t>España</t>
  </si>
  <si>
    <t>Sevillano, católico y cofrade @Hdad_Macarena y muy sevilista.</t>
  </si>
  <si>
    <t>Noticias CMM</t>
  </si>
  <si>
    <t>Lucia</t>
  </si>
  <si>
    <t>pere àlvaro</t>
  </si>
  <si>
    <t>"el fracaso era absoluto y no había secretario general. En un estado de desesperación, el presidente de la Mesa propuso elegirlo por orden alfabético. Y el primero de la lista era Albert Rivera. ¡Así salió!" Mare meua no era llegenda urbana😅</t>
  </si>
  <si>
    <t>De momento no pasa nada, pero en las urnas, tanto los podemitas/ comunistas como la tropa impresentable del PSOE del okupa Sánchez recibirán su merecido. Ahora, es muy importante estar atentos para que no manipulen las elecciones. @rosadiezglez @PSOE @Albert_Rivera @pablocasado_ RT @rosadiezglez: ¿Os imagináis qué ocurriría si un partido “de derechas” dijera que no reconoce el resultado de unas elecciones y llamarán a las gentes a echarse a las calles? Pues es lo que dicen y hacen los socios del Gobierno de España, tan ‘de izquierdas’, tan ‘progres’... y no pasa nada.</t>
  </si>
  <si>
    <t>https://amp.elmundo.es/opinion/2018/12/08/5c081e04fdddff5b688b4717.html?__twitter_impression=true</t>
  </si>
  <si>
    <t>https://twitter.com/rosadiezglez/status/1071335367855476738</t>
  </si>
  <si>
    <t>Onda, País Valencià</t>
  </si>
  <si>
    <t>My name is Gato I have metal joints beat me up and earn 15 silver points. ✊Parle massa al podcast @aixonoesveritat FORKLIFTER EVANGELIST</t>
  </si>
  <si>
    <t>Castilla-La Mancha, España</t>
  </si>
  <si>
    <t>La última hora en Castilla-La Mancha y las noticias del equipo de profesionales de @CMM_es. Síguenos también en Instagram, Youtube y Facebook.</t>
  </si>
  <si>
    <t>http://www.NoticiasCMM.es</t>
  </si>
  <si>
    <t>BuzoneoVox</t>
  </si>
  <si>
    <t>Con lo que está pasando y, teniendo en cuenta lo que ha dicho la ministra Delgado, me parece que soy de extrema, extrema, extrema, súper extrema derecha😊</t>
  </si>
  <si>
    <t>¿Se hará más fotos Albert Rivera con Emmanuel Macron?</t>
  </si>
  <si>
    <t>Gripau gRock🎗😎</t>
  </si>
  <si>
    <t>https://www.elmundo.es/internacional/2018/12/08/5c0b8d2021efa007548b45f0.html</t>
  </si>
  <si>
    <t>Albert Rivera no descarta gestos hacia VOX. Aquí el primero: #albertrivera #ciudadanos #vox</t>
  </si>
  <si>
    <t>https://pbs.twimg.com/media/DtqbqsIWwAEklVD.jpg</t>
  </si>
  <si>
    <t>Imprime y buzonea a tus vecinos. Ayuda a propagar las ideas de @vox. Mándanos tus propuestas, colabora con nosotros. Cuenta no oficial. #VoxAvanza</t>
  </si>
  <si>
    <t>Juan R. Garcia-Rico</t>
  </si>
  <si>
    <t>Recordemos que esto es lo que @Albert_Rivera quiere en España RT @grancocolio: Los estudiantes arrodillados a la fuerza por la policia Francesa por haberse manifestado.</t>
  </si>
  <si>
    <t>He visto cosas que vosotros no creeríais.......</t>
  </si>
  <si>
    <t>https://twitter.com/grancocolio/status/1071399869171023874</t>
  </si>
  <si>
    <t>AlBeer🍺</t>
  </si>
  <si>
    <t>Cuando salen por la tele, confundo las caras de Pablo Casado y Albert Rivera. Real</t>
  </si>
  <si>
    <t>pic.twitter.com/DVgQpFgjq2</t>
  </si>
  <si>
    <t>soy bastante imperfecto, por eso adoro a la gente que esta conmigo, porque conocen mis imperfecciones y aún así, siguen a mi lado</t>
  </si>
  <si>
    <t>Móstoles, España</t>
  </si>
  <si>
    <t>Balonmano Móstoles. SAMCRO. Joker. Yo me gano mi suerte.</t>
  </si>
  <si>
    <t>https://twitter.com/el_pais/status/1070304969323134976
http://cort.as/-Ci7s</t>
  </si>
  <si>
    <t>https://pbs.twimg.com/media/Dtp7sr8W4AYEE-l.jpg</t>
  </si>
  <si>
    <t>Cabreo Político</t>
  </si>
  <si>
    <t>Hola! @sanchezcastejon @Pablo_Iglesias_ @Albert_Rivera @Santi_ABASCAL @pablocasado_</t>
  </si>
  <si>
    <t>https://pbs.twimg.com/media/Dt5s3bgXgAE0qSx.png</t>
  </si>
  <si>
    <t>Análisis Cabreo político en Twitter</t>
  </si>
  <si>
    <t>rafaelwv</t>
  </si>
  <si>
    <t>Pues amigo @Albert_Rivera tampoco de estoy viendo poner denuncias o acudiendo a juzgados de guardia o apelando al ministro del interior... @interiorgob RT @Albert_Rivera: Es una vergüenza que los comandos separatistas que cortan carreteras y acosan a ciudadanos tengan el apoyo de Torra y este a su vez pretenda purgar a los Mossos que hacen cumplir la ley. Mientras, Sánchez mirando hacia otro lado para que sus socios no le desalojen de La Moncloa.</t>
  </si>
  <si>
    <t>R. ♀</t>
  </si>
  <si>
    <t>Pérez Reverte compite con Albert Rivera por el liderazgo del movimiento feminista RT @perezreverte: @kalindama Yo no he firmado ni apoyado jamás un manifiesto, ni ése ni ningún otro. Pero quien hace daño al feminismo (me refiero al de verdad, al intelectualmente serio, al necesario y urgente, no al disparate folklórico) es la gente como usted, con su bajuna calaña y su estúpida torpeza.</t>
  </si>
  <si>
    <t>https://twitter.com/perezreverte/status/1071412213108391937</t>
  </si>
  <si>
    <t>England, AR</t>
  </si>
  <si>
    <t>Spain</t>
  </si>
  <si>
    <t>Radfem, not the fun kind. Abolicionista de todo. Gender is a hierarchy. Vegan🌱</t>
  </si>
  <si>
    <t>Advocatus Diaboli. Abyssus abyssum invocat. Si llevas lacito amarillo o eres nacionalista de cualquier tipo vas directamente a /dev/null</t>
  </si>
  <si>
    <t>http://www.nach-schlag.com/</t>
  </si>
  <si>
    <t>EL BUENO, EL PROGRE Y EL FACHA</t>
  </si>
  <si>
    <t>Mmmm @Albert_Rivera , se da usted por aludido? RT @CastigadorY: Cuándo existe una situación tan extrema y alarmante cómo la que vive este país, no vale ir de centrista y abogar por lo políticamente correcto, o estás contra el golpe de estado que está dando la izquierda o estas a favor, aquellos que no hagan nada también serán culpables.</t>
  </si>
  <si>
    <t>Comunidad de Madrid, España</t>
  </si>
  <si>
    <t>https://twitter.com/CastigadorY/status/1071406920702050304</t>
  </si>
  <si>
    <t>SÍ, votaré #VOX. Visita mi canal youtube EL BUENO EL PROGRE Y EL FACHA. Te echarás unas risas.</t>
  </si>
  <si>
    <t>https://www.youtube.com/channel/UC4pLa55R6EOOyyfUaZ3eenQ</t>
  </si>
  <si>
    <t>No sé a qué tanto paripé en @CiudadanosCs con su Presidente, @Albert_Rivera. Al final el gran jefe, Aznar, ha nombrado a Abascal como virrey de Cs.</t>
  </si>
  <si>
    <t>https://elpais.com/politica/2018/12/05/actualidad/1543998700_343655.html</t>
  </si>
  <si>
    <t>Miguel</t>
  </si>
  <si>
    <t>No vi tanto AMOR ni en Romeo y Julieta.</t>
  </si>
  <si>
    <t>Alexander Grau</t>
  </si>
  <si>
    <t>Qué Francia tan bonita está dejando el homólogo de @Albert_Rivera al otro lado de los Pirineos. #ChalecosAmarillos</t>
  </si>
  <si>
    <t>De Barcelona al món</t>
  </si>
  <si>
    <t>https://www.comingsoon.com</t>
  </si>
  <si>
    <t>Aurelio M. Belando M</t>
  </si>
  <si>
    <t>Yeray Santana</t>
  </si>
  <si>
    <t>Está la gente retenida en la AP-7 en el momento ideal para que Tezanos les pregunté por intención de voto en el CIS. @sanchezcastejon @Pablo_Iglesias_ @pablocasado_ @Albert_Rivera</t>
  </si>
  <si>
    <t>El fonil</t>
  </si>
  <si>
    <t>¿No se llegó a comparar con él Albert Rivera? RT @miguel_prat: Todo es efímero. A Macron, el referente, ya ni lo nombran.</t>
  </si>
  <si>
    <t>Gran Canaria</t>
  </si>
  <si>
    <t>Enfermero de Cuidados Intensivos. RN MsC Doctorando @UJI_noticias Intentando ser un poco mejor cada día</t>
  </si>
  <si>
    <t>Para tener enemigos no hace falta declarar una guerra, basta decir lo que se piensa #MLKjr; #CiudadanoDelMundo #PSOE #_AMBM http://3navegantes.wordpress.com</t>
  </si>
  <si>
    <t>https://twitter.com/miguel_prat/status/1071379668484399104</t>
  </si>
  <si>
    <t>http://3navegantes.wordpress.com/</t>
  </si>
  <si>
    <t>Refugiado</t>
  </si>
  <si>
    <t>Luchando por derogar la Ley del fonil.</t>
  </si>
  <si>
    <t>Aitor Luque</t>
  </si>
  <si>
    <t>Esto es lo que provoca el referente para @Albert_Rivera en Francia. Es lo que queréis para España? RT @AngelVazquez40: .@AlfredoJalifeR_ El trato de la Policía de Francia a un grupo de estudiantes detenidos tras protestar ha avivado aun más la ira pública contra el Gobierno de Emmanuel Macron.  Policía francesa detiene a estudiantes y los obliga a arrodillarse</t>
  </si>
  <si>
    <t>Carlos M.Prieto Ruiz</t>
  </si>
  <si>
    <t>Directo | Sánchez: "Albert Rivera debería escuchar más a Valls sobre Vox" | #Sanchez #PedroSanchez #politica #noticias #PSOE #Rivera #AlbertRivera #Ciudadanos #TicTacRivera &gt;</t>
  </si>
  <si>
    <t>Orientativo. Hay que ser y estar centrados sin caer en extremos politicos En @elconfidencial: Rivera, no con Vox</t>
  </si>
  <si>
    <t>https://blogs.elconfidencial.com/espana/notebook/2018-12-08/vox-albert-rivera-pactos-andalucia-centro-europeista_1692818/?utm_campaign=BotoneraWebapp&amp;utm_source=twitter&amp;utm_medium=social</t>
  </si>
  <si>
    <t>https://www.zapper.news/news?tpost=248302&amp;taccount=zapper_news</t>
  </si>
  <si>
    <t>https://twitter.com/AngelVazquez40/status/1071114181343096832
http://htv.mx/1tFQ</t>
  </si>
  <si>
    <t>pic.twitter.com/U1PgeJeKjL</t>
  </si>
  <si>
    <t>Kristiansand (Noruega)</t>
  </si>
  <si>
    <t>Granadino. Father of two lovely children, I am MsC Civil engineer working &amp; living in Norway. Dancingman, swimmer, skating and looking for hiking experience</t>
  </si>
  <si>
    <t>República De España</t>
  </si>
  <si>
    <t>La vida es un sueño del que despertamos cada día y solo quedan recuerdos.</t>
  </si>
  <si>
    <t>Jesús María Sánchez</t>
  </si>
  <si>
    <t>Lo nunca contado de la ‘íntima’ amistad entre Albert Rivera y Santiago Abascal</t>
  </si>
  <si>
    <t>Toni C.</t>
  </si>
  <si>
    <t>Que trato da @Albert_Rivera a los chalecos amarillos que incomodan a su álter ego Macron. @albert_rivera añora la paz y el orden de las dictaduras y poblaciones masivas y sumisas RT @Albert_Rivera: Es una vergüenza que los comandos separatistas que cortan carreteras y acosan a ciudadanos tengan el apoyo de Torra y este a su vez pretenda purgar a los Mossos que hacen cumplir la ley. Mientras, Sánchez mirando hacia otro lado para que sus socios no le desalojen de La Moncloa.</t>
  </si>
  <si>
    <t>https://www.elplural.com/politica/lo-nunca-contado-de-la-intima-amistad-entre-albert-rivera-y-santiago-abascal_207666102</t>
  </si>
  <si>
    <t>Ángel M</t>
  </si>
  <si>
    <t>Macron (el Albert Rivera francés) cede a la presión y retrasa la subida de impuestos.Pero su intención era subir impuestos y lo acabará haciendo con cierto retraso.Repito, subir impuestos. Se entiende? Subir impuestos. #Francia #Macron #AlbertRivera</t>
  </si>
  <si>
    <t>Andalucía, España</t>
  </si>
  <si>
    <t>Papá de Candela y Daniela. Andaluz del mundo, viajero, socialista. Ambientólogo de paso por @fomentoand. Researcher on sustainability indicators @pablodeolavide</t>
  </si>
  <si>
    <t>Me gusta viajar, practico submarinismo y observo con expectación las bondades y las miserias de la sociedad y la política actual</t>
  </si>
  <si>
    <t>ALEJANDRO PICAZO</t>
  </si>
  <si>
    <t>#Paris Cuando veo las revueltas en Francia y en París me acuerdo del apoyo de Albert Rivera a Macron y como identificaba a Cs con su partido. Ese es el gobierno q quiere para España? 🤔</t>
  </si>
  <si>
    <t>Quien juega con chicharros se acaba achicharrando</t>
  </si>
  <si>
    <t>LEGANÉS (MADRID)</t>
  </si>
  <si>
    <t>#Periodista, #Leganense y #Madrileño. Me encanta mi ciudad. Interesado por política. Entregado a las causas sociales e injustas. No entiendo la vida sin música.</t>
  </si>
  <si>
    <t>http://www.informepicazo.blogspot.com</t>
  </si>
  <si>
    <t>Dulcedelechoza</t>
  </si>
  <si>
    <t>«La peste del chavismo ya ha contagiado a España»  vía @ABC_Mundo ANOTEN : @Albert_Rivera @pablocasado_ @CasaReal @libertaddigital @el_pais @elmundoes @rtve @A3Noticias @RTVCes @TVgalicia @elespanolcom @elconfidencial @europapress @laverdad_es @larazon_es</t>
  </si>
  <si>
    <t>https://www.abc.es/internacional/abci-peste-chavismo-contagiado-espana-201812060233_noticia.html#ns_campaign=rrss-inducido&amp;ns_mchannel=abc-es&amp;ns_source=tw&amp;ns_linkname=noticia-entrevista&amp;ns_fee=0</t>
  </si>
  <si>
    <t>Leonor Mogio</t>
  </si>
  <si>
    <t>La mala leche de Rivera con el sanchismo  vía @diario_16 Este artículo refleja lo q el Sñ Rivera ve cuando mira al espejo y se ve reflejado q es descripción q hace del sanchismo se ve el..el sanchismo es pura integridad señor eso usted no lo ve no lo tiene</t>
  </si>
  <si>
    <t>http://mediterraneo.diario16.com/la-mala-leche-albert-rivera-sanchismo/</t>
  </si>
  <si>
    <t>Gata. Amazona de Tabarnia</t>
  </si>
  <si>
    <t>Torra y Puigdemont, hoy en Bruselas. Quieren recoger firmas para expulsar a España de La Unión Europea!!! @sanchezcastejon @Albert_Rivera @pablocasado_ @Santi_ABASCAL @Defensagob</t>
  </si>
  <si>
    <t>vive la vida de forma que cuando tus hijos piensen en justicia e integridad piensen en ti Activista Militante PSOE y la UGT</t>
  </si>
  <si>
    <t>http://eleanor-viviendo.blogspot.com/</t>
  </si>
  <si>
    <t>Juanse🔻</t>
  </si>
  <si>
    <t>Rufián "TUMBA" a Albert Rivera y sus ridículas propuestas: GOLPISTA los ...  vía @YouTube</t>
  </si>
  <si>
    <t>Quédate quieto, en silencio y escucha a tu corazón. Y cuando te hable, levantate y ve donde él te lleve.</t>
  </si>
  <si>
    <t>JIMG #NoTTIP #NoTiSA</t>
  </si>
  <si>
    <t>https://youtu.be/GLdHfr4M7QE</t>
  </si>
  <si>
    <t>Madrizzzzz</t>
  </si>
  <si>
    <t>Málaga y Unicaja. Chelsea. Mi imaginación se traga a la realidad. Pedagogo</t>
  </si>
  <si>
    <t>Opinioner 26</t>
  </si>
  <si>
    <t>Paso a paso nos llevan al enfrentamiento civil. ¿Es posible una Huelga General planteada por partidos políticos? Srs @Santi_ABASCAL @pablocasado_ @TeoGarciaEgea @Albert_Rivera @GirautaOficial @InesArrimadas el tiempo se acaba. No nos dejen tirados @vox_es @PPopular @CiudadanosCs</t>
  </si>
  <si>
    <t>JMConejo🎗</t>
  </si>
  <si>
    <t>Macron, el amigo y socio de Albert Rivera . Ya sabéis ! RT @grancocolio: Los estudiantes arrodillados a la fuerza por la policia Francesa por haberse manifestado.</t>
  </si>
  <si>
    <t>https://pbs.twimg.com/media/Dt5dPX4WsAAQH7_.jpg</t>
  </si>
  <si>
    <t>Demócrata - Republicano - Ateo - 15M - @yayoflauta - Antitaurino - Animalista - Socio de @greenpeace_esp y @MSF_espana</t>
  </si>
  <si>
    <t>http://jimgzamora.wordpress.com</t>
  </si>
  <si>
    <t>Tertuliano rebelde. Español y a favor de potenciar la clase media, o sea, anti socialista-populista 🇪🇸🏁⚽</t>
  </si>
  <si>
    <t>A Son Servera ... o pel món!</t>
  </si>
  <si>
    <t>Mallorca Republicana, Lliure i Independent ! 🎗</t>
  </si>
  <si>
    <t>Enrique Clemente</t>
  </si>
  <si>
    <t>Lo digo porque siempre estáis recordando y rindiendo merecidos homenajes a las víctimas del terrorismo y os alegráis de la detención de etarras. Porque los abogados de Atocha son víctimas del terrorismo. ¿O no? @pablocasado_ @Albert_Rivera RT @eclementen: Estimados @pablocasado_ y @Albert_Rivera estoy extrañado que aún no hayáis tenido tiempo de escribir un tuit para alegraros de la detención de Garcia Juliá, uno de los asesinos de los abogados de Atocha. Se os habrá pasado. Seguro</t>
  </si>
  <si>
    <t>https://twitter.com/eclementen/status/1071395645318184966
https://twitter.com/eclementen/status/1071025693490847744</t>
  </si>
  <si>
    <t>Violeta Rivera Lopez</t>
  </si>
  <si>
    <t>La mala leche de Rivera con el sanchismo  vía @diario_16</t>
  </si>
  <si>
    <t>Periodista. Columnista y analista político de La Voz de Galicia. También escribo de libros. Ex Diario 16</t>
  </si>
  <si>
    <t>Calpe, Comunidad Valenciana</t>
  </si>
  <si>
    <t>Alcaldesa de Calpe desde 1987 al 1995 por el PSOE</t>
  </si>
  <si>
    <t>Estimados @pablocasado_ y @Albert_Rivera estoy extrañado que aún no hayáis tenido tiempo de escribir un tuit para alegraros de la detención de Garcia Juliá, uno de los asesinos de los abogados de Atocha. Se os habrá pasado. Seguro RT @eclementen: Seguro que se os pasado con los fastos de la Constitución, pero no he visto ni un tuit vuestro celebrando la detención de uno de los asesinos de los abogados de Atocha @pablocasado_ @Albert_Rivera</t>
  </si>
  <si>
    <t>Alfon Rodríguez</t>
  </si>
  <si>
    <t>Santiago Abascal y Albert Rivera en un debate en Interconomia.. Me esta empezando a picar el cuerpo 😷🤒🤕 RT @Yo_Soy_Asin: Aquí os dejo las diferencias entre VOX y Ciudadanos. FIN</t>
  </si>
  <si>
    <t>https://twitter.com/eclementen/status/1071025693490847744</t>
  </si>
  <si>
    <t>https://twitter.com/Yo_Soy_Asin/status/1071371538463629312</t>
  </si>
  <si>
    <t>pic.twitter.com/JskLofyX3G</t>
  </si>
  <si>
    <t>S.O.F.A.</t>
  </si>
  <si>
    <t>20.</t>
  </si>
  <si>
    <t>http://instagram.com/fonso_rdz</t>
  </si>
  <si>
    <t>Albert #PaísValencià</t>
  </si>
  <si>
    <t>Si se puede criticar a @Pablo_Iglesias_ porque se le compara con Nicolás Maduro, podemos criticar a @Albert_Rivera por lo propio con Emmanuel Macron, ¿no? ¿¿NO?? Campos Elíseos #Francia #París #ChalecosAmarillos #GiletsJaunes</t>
  </si>
  <si>
    <t>Francisco Fernandez</t>
  </si>
  <si>
    <t>#París El referente de Albert Rivera la ha liado parda en París, y Bruselas.</t>
  </si>
  <si>
    <t>València</t>
  </si>
  <si>
    <t>Psicología aldeana. ¿El café? Con poco azúcar. Vamos a por la Tercera.</t>
  </si>
  <si>
    <t>https://pbs.twimg.com/media/Dt5jCGXXgAAZm_1.jpg</t>
  </si>
  <si>
    <t>Jorge Muga</t>
  </si>
  <si>
    <t>No está de más recordar que Albert Rivera pretende traernos a España la Francia en llamas de Macron, bajar los impuestos a los ricos y subírselos a los pobres hasta que estalle todo</t>
  </si>
  <si>
    <t>Mati Quirós</t>
  </si>
  <si>
    <t>No sé dónde está la sorpresa.. Con @Albert_Rivera y @CiudadanosCs lo han hecho hasta la saciedad y desde hace mucho. RT @PerdigueroSIPEp: Que poca vergüenza tienen!</t>
  </si>
  <si>
    <t>madrid</t>
  </si>
  <si>
    <t>https://twitter.com/PerdigueroSIPEp/status/1071112868249157634
https://twitter.com/LaRetuerka/status/1071111364482162688</t>
  </si>
  <si>
    <t>Logroño</t>
  </si>
  <si>
    <t>Málaga</t>
  </si>
  <si>
    <t>Cuando un proyecto político es capaz de generar ilusión y entusiasmo y lo hace sin demagogias baratas y populistas, es que va por muy buen camino. #ciudadanos</t>
  </si>
  <si>
    <t>LaOtra Agenda</t>
  </si>
  <si>
    <t>¿Creiaís que a @raulperez_76 no se le resistía ningún personaje? Esto es lo que nos ha contado 👇👇 @Albert_Rivera ¿le echas una mano? #LaOtraAgendaMadrid</t>
  </si>
  <si>
    <t>pic.twitter.com/SYxRcmPVKU</t>
  </si>
  <si>
    <t>CABLENOTICIAS</t>
  </si>
  <si>
    <t>El político español Albert Rivera califica a Betancur de 'gran estadista'</t>
  </si>
  <si>
    <t>http://bit.ly/2QkSWRF</t>
  </si>
  <si>
    <t>https://pbs.twimg.com/media/Dt3MhynWwAAaUig.jpg</t>
  </si>
  <si>
    <t>El nuevo magacín cultural y de ocio de la capital. Cada viernes a las 21:15h⌚️en @laOtraTM y los sábados en @telemadrid con @mariavicotv 🙋🏼‍♀️</t>
  </si>
  <si>
    <t>http://telemadrid.es/programas/la-otra-agenda/</t>
  </si>
  <si>
    <t>Bogotá</t>
  </si>
  <si>
    <t>Somos el primer canal de noticias 24 horas en Colombia. ¡ESTAMOS EN LA NOTICIA! Facebook (http://on.fb.me/1EfFZHR) Youtube (http://bit.ly/1Cl2Q2H)</t>
  </si>
  <si>
    <t>http://www.cablenoticias.tv</t>
  </si>
  <si>
    <t>Anti-Podemos</t>
  </si>
  <si>
    <t>Rivera tiene un plan para pactar con Vox sin enfadar a sus socios europeos. Aceptará su apoyo solo como último recurso. Primero...</t>
  </si>
  <si>
    <t>ErreGood</t>
  </si>
  <si>
    <t>La España que quiere el cocainomano de @Albert_Rivera RT @Juanmi_News: Blindados por las calles de París. #GiletsJaunesParis #protestas #chalecos #amarillos #Gilets #Jaunes #GiletsJaunes #France #Francia</t>
  </si>
  <si>
    <t>https://twitter.com/Juanmi_News/status/1071386563559481345</t>
  </si>
  <si>
    <t>pic.twitter.com/vIVD9193qt</t>
  </si>
  <si>
    <t>Plataforma de españoles y venezolanos a los que no nos gusta Podemos.</t>
  </si>
  <si>
    <t>https://www.facebook.com/pages/Espa%C3%B1oles-y-Venezolanos-Anti-Podemos/885396501484393?sk=timeline</t>
  </si>
  <si>
    <t>🍀🇪🇸Newt 🇪🇺🏳️‍🌈</t>
  </si>
  <si>
    <t>Veremos qué explicaciones da @Albert_Rivera y @CiudadanosCs para blanquear fascismo y machismo de ultraderecha .,, RT @ErnestoEkaizer: #Andalucía El Partido Socialista será desalojado de la Junta, habrá gobierno PP-Ciudadanos con apoyo de Vox, a quien no le interesa entrar de momento en la institución.</t>
  </si>
  <si>
    <t>https://twitter.com/ernestoekaizer/status/1071384642719236096</t>
  </si>
  <si>
    <t xml:space="preserve">Arganzuela, Madrid
</t>
  </si>
  <si>
    <t>GMdO de Alcántara: Navigare necesse est, vivere non est necesse. Socialista.</t>
  </si>
  <si>
    <t>Antonio J. Tomás Sánchez</t>
  </si>
  <si>
    <t>Pues yo lo tengo claro. Si tengo que pactar lo haría con un partido constitucionalista como es Vox nunca con un PSOE corrupto enfermizo extremista y menos aún con la izquierda comunista-chavista radical.</t>
  </si>
  <si>
    <t>https://www.elplural.com/politica/lo-nunca-contado-de-la-intima-amistad-entre-albert-rivera-y-santiago-abascal_207666102_amp?__twitter_impression=true</t>
  </si>
  <si>
    <t>La que está liando el @Albert_Rivera francés en París, ¿eh?</t>
  </si>
  <si>
    <t>Molina de Segura, España</t>
  </si>
  <si>
    <t>El camino al éxito está adoquinado de fracasos. Centrista liberal. Molinense , murciano. http://facebook.com/AntonioJoseTomas</t>
  </si>
  <si>
    <t>Curro Troya 💪🏻</t>
  </si>
  <si>
    <t>En esto sigo coincidiendo con @Albert_Rivera RT @Albert_Rivera: Es una vergüenza que los comandos separatistas que cortan carreteras y acosan a ciudadanos tengan el apoyo de Torra y este a su vez pretenda purgar a los Mossos que hacen cumplir la ley. Mientras, Sánchez mirando hacia otro lado para que sus socios no le desalojen de La Moncloa.</t>
  </si>
  <si>
    <t>I'm sorry, I'm just a journalist. My job is not being your pleaser.</t>
  </si>
  <si>
    <t>http://unpobrecitohablador.tumblr.com/</t>
  </si>
  <si>
    <t>Españolpuracepa 🇪🇸🇪🇸🇪🇸🇪🇸🇪🇸🇪🇸</t>
  </si>
  <si>
    <t>Ya vemos con toda claridad.</t>
  </si>
  <si>
    <t>MadridFootballClub</t>
  </si>
  <si>
    <t>Esperando esta felicitación de @sanchezcastejon @pablocasado_ @Albert_Rivera @Pablo_Iglesias_ @agarzon... RT @Santi_ABASCAL: Felicidades a todos en el día de la Patrona de España y de la Infantería. #PatronaDeEspaña #Infanteria</t>
  </si>
  <si>
    <t>https://twitter.com/Santi_ABASCAL/status/1071357700410408960
http://www.outono.net/elentir/2018/12/08/el-milagro-de-empel-asi-llego-la-inmaculada-concepcion-a-erigirse-en-patrona-de-espana/?fbclid=IwAR37t6JvYI32KEn8F0Wl22kUnSh2pXY343PbmUc51tt6wwRFf-ts_1LpLdc</t>
  </si>
  <si>
    <t>https://pbs.twimg.com/media/Dt46JVyWoAAHZUn.jpg</t>
  </si>
  <si>
    <t>Madridista disidente,Odio al futbol moderno...</t>
  </si>
  <si>
    <t>Francisco Mese</t>
  </si>
  <si>
    <t>Boadella: "O se interviene Cataluña varios años o nos comemos la independencia" @Albert_Rivera @sanchezcastejon @pablocasado_ @Pablo_Iglesias_ @CiudadanosCs @PSOE @PPopular @ahorapodemos</t>
  </si>
  <si>
    <t>http://www.elmundo.es/opinion/2018/12/08/5c081e04fdddff5b688b4717.html</t>
  </si>
  <si>
    <t>Quien no castiga el mal, ordena que se haga. Vinci, Leonardo da</t>
  </si>
  <si>
    <t>Carlos Gómez y Recio</t>
  </si>
  <si>
    <t>¿Cómo informan los países europeos a los trabajadores sobre su futura #pension?  via @elempresariocom @sanchezcastejon @pablocasado_ @Albert_Rivera #España</t>
  </si>
  <si>
    <t>https://www.elempresario.com/noticias/economia/2018/12/04/como_informan_los_paises_europeos_los_trabajadores_sobre_futura_pension_122311_1098.html?utm_source=twitter.com</t>
  </si>
  <si>
    <t>Marta Teixidó</t>
  </si>
  <si>
    <t>Hay que reconocer que los estrategas del partido de Rivera saben navegar bien por mares cargados de minas. Pero ¿Por qué hacen públicas sus estrategias? No es de recibo ya que el resto de partidos también juegan en la partida.  vía @ecd_</t>
  </si>
  <si>
    <t>Madrid, Spain. EU</t>
  </si>
  <si>
    <t>Get things done attitude. Con trabajo y honestidad se logra la excelencia.</t>
  </si>
  <si>
    <t>Crítico de arte y responsable de la dirección de Cuadros de Una Exposición .es, web con noticias, comentarios y opiniones sobre Arte. Miembro de AECA.</t>
  </si>
  <si>
    <t>http://www.cuadrosdeunaexposicion.es</t>
  </si>
  <si>
    <t>The Raven</t>
  </si>
  <si>
    <t>11 días faltan para que #SOSlas1000 familias no tengan donde criar a sus hijos, porque un #fondobuitre #Fidere les estafa. Haced vuestro trabajo @sanchezcastejon @Pablo_Iglesias_ @Albert_Rivera @pablocasado_ , para eso cobráis.</t>
  </si>
  <si>
    <t>joaquin santana</t>
  </si>
  <si>
    <t>Os acordáis cuando las élites y el @PPopular junto con los cuñaoos de Albert FALANGITO Rivera Cs nos decían aquello de "l@s Españoles/as han vivido por encima de sus posibilidades" una 💩💩 #FelizSábado</t>
  </si>
  <si>
    <t>https://m.publico.es/economia/2071704/la-corrupcion-hace-que-espana-pierda-mas-90000-millones-al-ano/amp?__twitter_impression=true</t>
  </si>
  <si>
    <t>⬅MUY DE IZQUIERDAS / ❌EX DELEGADO DE UGT/ ⚽Elchecf💚</t>
  </si>
  <si>
    <t>http://www.elcheclubdefutbolsad.com</t>
  </si>
  <si>
    <t>Cretácico inferior</t>
  </si>
  <si>
    <t>Afuera de mi casa tengo flores, sembradas en el campo como a ellas les gusta estar.</t>
  </si>
  <si>
    <t>Emilio Delgado</t>
  </si>
  <si>
    <t>¿Os acordáis cuando ⁦@Albert_Rivera⁩ ponía a Macron como ejemplo de lo que había que hacer en España?. Hoy que Francia tiembla hasta los cimientos por las políticas liberales que ambos comparten conviene recordarlo.</t>
  </si>
  <si>
    <t>Diputado de @ahorapodemos en la Asamblea de Madrid. https://telegram.me/EmilioDelgado</t>
  </si>
  <si>
    <t>https://t.me/JuegoPeligroso</t>
  </si>
  <si>
    <t>Pato</t>
  </si>
  <si>
    <t>Hoy hace 3 años que me hice un selfie con Albert Rivera.</t>
  </si>
  <si>
    <t>Ciudadanos Cantabria</t>
  </si>
  <si>
    <t>👉🏻 La amenaza del nacionalismo y populismo es una oportunidad para que volvamos a poner por delante el proyecto común. 📽 Así lo explicó @Albert_Rivera durante al acto de @CiudadanosCs #40añosDeConstitución celebrado en el Liceu de Barcelona.</t>
  </si>
  <si>
    <t>Dorne</t>
  </si>
  <si>
    <t>Millenial • Colorá • Çebiya • Derecho</t>
  </si>
  <si>
    <t>pic.twitter.com/cuBFjdWqdn</t>
  </si>
  <si>
    <t>laquintacolumna</t>
  </si>
  <si>
    <t>No está de más recordar que Albert Rivera pretende traernos a España la Francia en llamas de Macron, la de bajar los impuestos a los ricos y subírselos a los pobres hasta que estallen las calles.</t>
  </si>
  <si>
    <t>Cantabria</t>
  </si>
  <si>
    <t>Perfil oficial de @CiudadanosCs en #Cantabria 📲 Conecta en Facebook: http://facebook.com/CsCantabria y Telegram: https://t.me/CsCantabria</t>
  </si>
  <si>
    <t>http://cantabria.ciudadanos-cs.org/</t>
  </si>
  <si>
    <t>La vida es lo que pasa mientras pierdes el tiempo escribiendo un tuit</t>
  </si>
  <si>
    <t>Némesis</t>
  </si>
  <si>
    <t>Albert Rivera sobre la victoria de Macron en 2017.</t>
  </si>
  <si>
    <t>https://pbs.twimg.com/media/Dt5al4oXcAIv_5B.jpg</t>
  </si>
  <si>
    <t>De Las Nadies de toda la vida. El cine regala pequeños fragmentos de vida que nunca olvidarás (Fellini en 'Amarcord').</t>
  </si>
  <si>
    <t>Julian Alberto Vivar</t>
  </si>
  <si>
    <t>El indecente Albert Rivera ha dividido a Cataluña y encima insulta a Sanchez, ojala tomara su ejemplo</t>
  </si>
  <si>
    <t>Articulista, cronista político-social</t>
  </si>
  <si>
    <t>PepeRepública</t>
  </si>
  <si>
    <t>VOX y sus amiguitos @CiudadanosCs , con el demente @Albert_Rivera ... Dime con quién vas. #nazismemaimes #forafeixisme</t>
  </si>
  <si>
    <t>https://pbs.twimg.com/media/Dt5A9f1WoAAG6eb.jpg</t>
  </si>
  <si>
    <t>No soy un cordero aunque lo parezca.</t>
  </si>
  <si>
    <t>Atacan por enésima vez la tienda de los padres de @Albert_Rivera ..ah, no, que és la tienda de unos Independentistas, la que atacan... Esto , claro, no saldrá en ningún canal español ni catalán #fascismolegalverguenzanacional #FemUnPasEndavant #FemlaRepúblicaCatalana RT @josep_jorda: Tercer atac a la nostra botiga .Ni un pas enrera . Els pans serán sempre nostres #omniun #AlertaUltra #ANC #CDR</t>
  </si>
  <si>
    <t>https://twitter.com/josep_jorda/status/1071304118659149825</t>
  </si>
  <si>
    <t>https://pbs.twimg.com/media/Dt4JZQqXgAEXLkc.jpg</t>
  </si>
  <si>
    <t>yolanda</t>
  </si>
  <si>
    <t>He aqui el origen 👇👇👇👇👇👇👇👇 @Santi_ABASCAL @Albert_Rivera @pablocasado_ A tener en cuenta....</t>
  </si>
  <si>
    <t>https://okdiario.com/internacional/2018/12/08/iran-amenaza-occidente-diluvio-drogas-refugiados-atentados-si-continuan-sanciones-3441895/amp#click=https://t.co/tzZeOyumEB</t>
  </si>
  <si>
    <t>alive &amp; kicking</t>
  </si>
  <si>
    <t>Frankk</t>
  </si>
  <si>
    <t>Albert Rivera decía que Macron era su referencia y todo un ejemplo. Ahora a ver lo que dice tras lo que pasa en Francia. Jijijaja.</t>
  </si>
  <si>
    <t>dubrovnik</t>
  </si>
  <si>
    <t>Kaurismaki es una Cuquifonía.Veganismo, cine, series y trap. Me faltan proteínas,B12 y dinero,pero sobretodo proteínas y b12. Punkcela.</t>
  </si>
  <si>
    <t>Pablo Altam</t>
  </si>
  <si>
    <t>Qué extraño, @pablocasado_, @Pablo_Iglesias_, @Albert_Rivera y @sanchezcastejon no han dicho nada de la Patrona de España y de la Infantería, sólo @Santi_ABASCAL tiene la educación y el respeto que se merce. Viva España, Viva la Inmaculada Concepción, Viva la Infantería</t>
  </si>
  <si>
    <t>Panik</t>
  </si>
  <si>
    <t>Que bonita está la Francia del Macron. Si, del mismo Macron que era el referente político de Albert Rivera y el mismo Macron que tanto alababan las televisiones de España por compararlo con Albert. RT @Juanmi_News: Blindados por las calles de París. #GiletsJaunesParis #protestas #chalecos #amarillos #Gilets #Jaunes #GiletsJaunes #France #Francia</t>
  </si>
  <si>
    <t>https://pbs.twimg.com/media/Dt487-tWkAAu8iu.jpg</t>
  </si>
  <si>
    <t>cansado de medios de información manipulados y derechas camufladas.</t>
  </si>
  <si>
    <t>Eduardo G-Junceda</t>
  </si>
  <si>
    <t>"Rivera, no con Vox" @jazarzalejos. No se puede decir ni más ni mejor</t>
  </si>
  <si>
    <t>Quien no haya sido Soldado de Infantería no sabe, que cuando el hombre se lanza, cuando al hombre se le calienta la sangre,lo más difícil es pararlo y enfriarlo</t>
  </si>
  <si>
    <t>https://blogs.elconfidencial.com/espana/notebook/2018-12-08/vox-albert-rivera-pactos-andalucia-centro-europeista_1692818/?utm_source=twitter&amp;utm_medium=social&amp;utm_campaign=BotoneraWeb</t>
  </si>
  <si>
    <t>Científico en el CSIC. Biólogo haciendo química en @IQOG_CSIC. En esta cuenta solo opiniones personales.</t>
  </si>
  <si>
    <t>http://www.iqog.csic.es/es/directory/918</t>
  </si>
  <si>
    <t>Castigo Buenaventura</t>
  </si>
  <si>
    <t>Si @Albert_Rivera de @CiudadanosCs no acaba con esto acatando los dictámenes de las #EleccionesAndaluzas estarán acabados en las generales, ustedes mismos.</t>
  </si>
  <si>
    <t>Pelaspigas1</t>
  </si>
  <si>
    <t>Lo nunca contado de la ‘íntima’ amistad entre Albert Rivera y Santiago Abascal via @El_Plural</t>
  </si>
  <si>
    <t>https://www.elespanol.com/reportajes/20181208/top-pierden-enchufismo-andaluz-juan-cobrando-junta/358965045_0.html</t>
  </si>
  <si>
    <t>Alicante</t>
  </si>
  <si>
    <t>Caballero andante, empeñado en desfacer entuertos</t>
  </si>
  <si>
    <t>En todos sitios.</t>
  </si>
  <si>
    <t>La culpa es de Franco, el PSOE no es corrupto, los podemitas son inteligentes.</t>
  </si>
  <si>
    <t>Bruce79</t>
  </si>
  <si>
    <t>Los que hemos criticado ad nauseam a Podemos, tenemos que hacerlo con Vox. Son absolutamente lo mismo, cromos intercambiables. Si pacta @Albert_Rivera con ellos, ha perdido un voto</t>
  </si>
  <si>
    <t>Dolores GPastor 🇪🇺</t>
  </si>
  <si>
    <t>Una dialéctica sin concesiones al nacionalismo catalán (y al vasco) no es una expresión ideológica extremista, sino una posición liberal convencida que combate la exclusión, la endogamia y el egoísmo social y económico</t>
  </si>
  <si>
    <t>Cartagena-Murcia</t>
  </si>
  <si>
    <t>Cualquier violación de la ley de la moda hace sufrir inmediatamente al individuo el perder la simpatía y la estima de su entorno social.</t>
  </si>
  <si>
    <t>España Liberal y Progresista</t>
  </si>
  <si>
    <t>Presidenta de la #ComisiónCorrupción. Diputada Asamblea de Madrid. Regeneración y transparencia. Reformer.</t>
  </si>
  <si>
    <t>José Manuel D.R.</t>
  </si>
  <si>
    <t>http://linkedin.com/in/dgpastor</t>
  </si>
  <si>
    <t>Es verdad .@Albert_Rivera Tenemos q seguir el ejemplo de los padres constituyentes q supieron construir el futuro de nuestro país sin la ultraderecha q ahora intenta devolvernos a esa España preconstitucional de la q afortunadamente salimos hace 40 años. .@CiudadanosCs RT @Albert_Rivera: Hoy es un día para celebrar y agradecer, pero también para mirar al futuro y seguir el ejemplo de nuestros padres constituyentes. No hay que resucitar los enfrentamientos y la España de los rojos y azules, sino unirnos para relanzar nuestro proyecto nacional #40AñosDeConstitución</t>
  </si>
  <si>
    <t>https://twitter.com/albert_rivera/status/1070689250792955905</t>
  </si>
  <si>
    <t>pic.twitter.com/dOBcRLab6s</t>
  </si>
  <si>
    <t>#Socialista, #Ugetista, #Fotografía, #Madridista, #eb8cxw, Licenciado en Derecho, y ex Profesor. Madrileño en Gran Canaria,</t>
  </si>
  <si>
    <t>Juan Carlos Chirinos</t>
  </si>
  <si>
    <t>No soy del partido de @Marta_Sibina, pero me parece razonable lo que pide: aclarar ya cómo y por qué las farmacéuticas cobran al Estado por las medicinas. Es un problema que interesaría a todo el Congreso, ¿no, @SanchezCastejon, @PabloCasado_, @Albert_Rivera y @Pablo_Iglesias_?</t>
  </si>
  <si>
    <t>MadridOıɹɐuoıɔnloʌǝɹɹɐɹʇuoɔ.</t>
  </si>
  <si>
    <t>Libros: "Venezuela. Biografía de un suicidio" (@lahuertagrande, 2017), "La Manzana de Nietzsche" (@EdicionesLaPalm, 2015), "Miranda" (@RENACIMIENTOED, 2017).</t>
  </si>
  <si>
    <t>https://www.instagram.com/juance67/</t>
  </si>
  <si>
    <t>Albert Rivera</t>
  </si>
  <si>
    <t>Es una vergüenza que los comandos separatistas que cortan carreteras y acosan a ciudadanos tengan el apoyo de Torra y este a su vez pretenda purgar a los Mossos que hacen cumplir la ley. Mientras, Sánchez mirando hacia otro lado para que sus socios no le desalojen de La Moncloa. RT @24h_tve: Los CDR han bloqueado durante horas a camiones y autocares provocando varios kilómetros de retenciones. Nos da más detalles @isabelojedam</t>
  </si>
  <si>
    <t>Álvaro Sánchez León</t>
  </si>
  <si>
    <t>Me gustaría saber cómo ven estas medidas low cost para mejorar el @Congreso_Es @pablocasado_ @Albert_Rivera @Adrilastra @Pablo_Iglesias_ @JoanTarda @anapastorjulian @AITOR_ESTEBAN  vía @ecd_</t>
  </si>
  <si>
    <t>https://twitter.com/24h_tve/status/1071377177449562112
http://www.rtve.es/noticias/mas-24/</t>
  </si>
  <si>
    <t>pic.twitter.com/OTdJXNEz6z</t>
  </si>
  <si>
    <t>Granada, España</t>
  </si>
  <si>
    <t>Catalunya és la meva terra, España es mi país and Europe is our future. Perfil oficial de Albert Rivera. Presidente de @CiudadanosCs.</t>
  </si>
  <si>
    <t>https://www.elconfidencialdigital.com/articulo/politica/medidas-revitalizar-congreso-diputados-ap</t>
  </si>
  <si>
    <t>http://www.ciudadanos-cs.org</t>
  </si>
  <si>
    <t>Jose Kebap 🥙</t>
  </si>
  <si>
    <t>Periodista. Boceto de escritor. Madrid. Escríbeme. Si quieres: alvaroslromero@gmail.com</t>
  </si>
  <si>
    <t>Creo que a Albert Rivera también. RT @arygarccia: Soy la única a la que las historias de Instagram se le ven con rayas?</t>
  </si>
  <si>
    <t>http://asanleo.com</t>
  </si>
  <si>
    <t>https://twitter.com/arygarccia/status/1070767581395607552</t>
  </si>
  <si>
    <t>Para toda esa gente que se vio obligada a escapar de mi vida por miedo a quedarse encerrados en ella para siempre./ Mi alter ego: @queseesfumen/</t>
  </si>
  <si>
    <t>https://www.instagram.com/_kbp__/</t>
  </si>
  <si>
    <t>Así les gustaría ser recordados a @sanchezcastejon, @pablocasado_ , @Pablo_Iglesias_ y @Albert_Rivera dentro de 40 años. Por @estherpalomera</t>
  </si>
  <si>
    <t>Adrián</t>
  </si>
  <si>
    <t>El amigo francés de Albert Rivera 🇪🇸, Emmanuel Macron, lo tiene que estar haciendo muy bien vista la que tiene montada en los Campos Elíseos. #GiletsJaunes</t>
  </si>
  <si>
    <t>https://www.huffingtonpost.es/esther-palomera/que-diran-de-ellos-cuando-ya-no-esten_a_23611994/</t>
  </si>
  <si>
    <t>Madridismo a pesar de todo. Opositor al Régimen 🇪🇸. Official account. #LibertadPresosPolíticos</t>
  </si>
  <si>
    <t>Doctor Okupa</t>
  </si>
  <si>
    <t>Si la justificación para querer gobernar es que el PP ha perdido escaños y ellos los han ganado, ¿por qué votaron a Rajoy, que perdió 50 diputados con respecto a 2011, y no exigieron que fuera Albert Rivera el presidente? Como argumento no es demasiado bueno. RT @Cs_Andalucia: El bipartidismo de #PPSOE sigue perdiendo apoyos de los andaluces mientras Ciudadanos sigue creciendo y recogiendo más ilusión en cada convocatoria electoral. 👉El cambio lo tiene que liderar un partido limpio que crece y genera ilusión, no quienes siguen perdiendo apoyo.</t>
  </si>
  <si>
    <t>https://twitter.com/Cs_Andalucia/status/1071367559268745217</t>
  </si>
  <si>
    <t>https://pbs.twimg.com/media/Dt5DHf1WoAAgimU.jpg</t>
  </si>
  <si>
    <t>Realista3.0</t>
  </si>
  <si>
    <t>Vamos que quiere iniciar una guerra; por si fuera de interés... PD:@interiorgob @sanchezcastejon @PoderJudicialEs @fiscal_es @tsj_cat @guardiacivil @policia @Santi_ABASCAL @Albert_Rivera @pablocasado_ RT @govern: #President @QuimTorraiPla: “La Constitució mai serà reformada per la via federal o confederal. L’única manera que Catalunya avanci és seguir la via eslovena: la llibertat”</t>
  </si>
  <si>
    <t>Falcón, Venezuela</t>
  </si>
  <si>
    <t>Presidente Okupa del Gobierno. Feminista y con Ministros maricones. Me gusta volar en avión a conciertos y en helicóptero a bodas de cuñados. A veces plagio.</t>
  </si>
  <si>
    <t>https://twitter.com/govern/status/1070715545622847488</t>
  </si>
  <si>
    <t>José de #Tabarnia</t>
  </si>
  <si>
    <t>Rifirrafe entre Albert Rivera e Hilario Pino en LaSexta Noche  vía @YouTube ¡Vaya baño de Rivera a Pino!</t>
  </si>
  <si>
    <t>https://youtu.be/9ahQu_ZJRE4</t>
  </si>
  <si>
    <t>Sevilla</t>
  </si>
  <si>
    <t>Español y andaluz, defiendo mi cultura y mis tradiciones. Si me sigues te sigo, natural de #Tabarnia</t>
  </si>
  <si>
    <t>¿Qué se dirá dentro de 40 años de Albert Rivera?  Así le gustaría al líder de Ciudadanos ser recordado</t>
  </si>
  <si>
    <t>Llorenç Pérez Cano</t>
  </si>
  <si>
    <t>Llevo un día recorriendo Barcelona, y aun no me he topado con ningún terrorista independentista ni ninguna ciudad sitiada... y es raro, pq cuando hablan de ella @pablocasado_ y @Albert_Rivera parece que te cuenten la última de Rambo...</t>
  </si>
  <si>
    <t>Mallorca</t>
  </si>
  <si>
    <t>Hombre feminista y de izquierdas, atrapado en la Antropología. Soy salta charcos; cocinero de anhelos; poeta del post-it. Bisexual visible.</t>
  </si>
  <si>
    <t>Juan Jara</t>
  </si>
  <si>
    <t>El 'chiringuito' del PSOE en Andalucía: 24.000 enchufados y un coste de 6.000 millones al año, por @daniro_asensio  vía @libre_mercado . @pablocasado_ . @Albert_Rivera No será fácil... Pero hay que hacerlo... Sin demora</t>
  </si>
  <si>
    <t>https://www.libremercado.com/2018-12-08/el-chiringuito-del-psoe-en-andalucia-24000-enchufados-y-un-coste-de-6000-millones-al-ano-1276629532/</t>
  </si>
  <si>
    <t>De camino al Cielo...</t>
  </si>
  <si>
    <t>Hombre Catolico: Español y Padre // Medicina y Gestión // Lucho por la Vida Humana y por España! // Activista civil por las Libertades Públicas y la Democracia</t>
  </si>
  <si>
    <t>Ciudadanos</t>
  </si>
  <si>
    <t>☀️ ☕️ ¡Buenos días! #FelizSábado 👉 El acto de Cs conmemorando los #40añosDeConstitución contó con la participación de @Albert_Rivera, @InesArrimadas y @manuelvalls. ⚡️¿Te lo perdiste? 📽 ¡No hay problema! A continuación te mostramos un resumen 👇</t>
  </si>
  <si>
    <t>pic.twitter.com/8Al1nQ4ICp</t>
  </si>
  <si>
    <t>Perfil Oficial de Ciudadanos. Somos un partido liberal progresista, demócrata y constitucionalista. Imposible es solo una opinión.</t>
  </si>
  <si>
    <t>http://www.ciudadanos-cs.org/</t>
  </si>
  <si>
    <t>Concepción 🇪🇸 #SanchezDimision</t>
  </si>
  <si>
    <t>ATENCIÓN CHIC@S EL SER UNICELULAR D LA MONCLOA SE HA DESATADO Y NOS VA A VENDER A LOS SEPARATAS ES MOMENTO DE CONVOCAR MANIFESTACIONES NUMEROSÍSIMAS EN TODA ESPAÑA BASTA YA ! @Albert_Rivera @PPopular @Vox_es @UPYD @hisomatemps #LaSilenciosaCat</t>
  </si>
  <si>
    <t>https://okdiario.com/espana/cataluna/2018/12/08/sanchez-ofrece-separatistas-reconocer-cataluna-como-nacion-cambio-del-si-presupuestos-3439890</t>
  </si>
  <si>
    <t>Jaime Arizabaleta</t>
  </si>
  <si>
    <t>El fenómeno del partido VOX es muy disiente, hoy el partido de Albert Rivera se da el lujo de rechazarlos mañana tendrán que unirse, porque mas temprano que tarde el Partido VOX gobernara a España. El mundo va hacia la Derecha</t>
  </si>
  <si>
    <t>Cali, Colombia</t>
  </si>
  <si>
    <t>"No pelea el número sino el ánimo, no vencen los muchos sino los valientes"</t>
  </si>
  <si>
    <t>http://www.centrodemocratico.com</t>
  </si>
  <si>
    <t>Ignacio Gomá Garcés</t>
  </si>
  <si>
    <t>Cs es un partido liberal y su función es ocupar ese espacio centrista con un fuerte acento europeísta, situando la ciudadanía por delante de las políticas de identidad de la izquierda y sorteando (...) las resistencias del conservadurismo de la derecha.</t>
  </si>
  <si>
    <t>RT todas las notícias e historia sobre Cataluña y Sanchez a la prensa extranjera. La verdad es nuestra mejor arma Nazios los bloqueo a la 1ra.</t>
  </si>
  <si>
    <t>Sincretista | Everything in moderation, including moderation | Editor de @HayDerecho | Autor: "¿Qué es realmente Bitcoin?" | Ahora, en @Congreso_Es</t>
  </si>
  <si>
    <t>http://www.editorialrasche.es/libros/que-es-realmente-bitcoin</t>
  </si>
  <si>
    <t>Que duro seria elegir entre Pablo Casado y Albert Rivera como Presidente de Gobierno de España. Aunque es un gana y gana yo definiría por Casado, es más contundente con sus argumentos.</t>
  </si>
  <si>
    <t>Madrid, España</t>
  </si>
  <si>
    <t>Fernando Carmona Monserrat</t>
  </si>
  <si>
    <t>DILE A ALBERT RIVERA QUE NO PUEDE PERMITIR QUE LOS CORRUPTOS DEL PSOE SIGAN GOBERNANDO ANDALUCÍA</t>
  </si>
  <si>
    <t>https://www.citizengo.org/hazteoir/pc/167099-al-psoe-ni-agua-sr-rivera</t>
  </si>
  <si>
    <t>https://pbs.twimg.com/media/Dt5CSUWXgAEHK_8.jpg</t>
  </si>
  <si>
    <t>AT</t>
  </si>
  <si>
    <t>Manifestarse es un derecho. Destrozar la propiedad privada y pública NO LO ES. Apliquemos este vídeo frances a nuestros amigos FASCISTAS SEPARATISTAS CDR. @sanchezcastejon Ponte las pilas Sánchez, esto va de mal en peor. @Santi_ABASCAL @Albert_Rivera @pablocasado_ RT @gouvernementFR: Manifester est un droit. Alors sachons l’exercer.</t>
  </si>
  <si>
    <t>Las Palmas de Gran Canaria, España</t>
  </si>
  <si>
    <t>Economista y profesor mercantil.</t>
  </si>
  <si>
    <t>https://twitter.com/gouvernementfr/status/1070963833009782784</t>
  </si>
  <si>
    <t>https://pbs.twimg.com/media/Dtv4NTjXcAEm5uP.jpg</t>
  </si>
  <si>
    <t>PartidoRepublicanoEs</t>
  </si>
  <si>
    <t>Albert Rivera @CiudadanosCs anda buscando el disfraz para ponerse luego de aceptar el apoyo de VOX ! El "regenerador degenerado"!</t>
  </si>
  <si>
    <t>Tabarnia</t>
  </si>
  <si>
    <t>https://pbs.twimg.com/media/Dt5BVJWXcAAXdO1.jpg</t>
  </si>
  <si>
    <t>Por una democracia real de iguales, dotada de pluralidad y participativa; con el objetivo del bien común sin olvidar nunca que el único soberano es el pueblo</t>
  </si>
  <si>
    <t>http://partidorepes.wordpress.com</t>
  </si>
  <si>
    <t>David🐺🌹</t>
  </si>
  <si>
    <t>El régimen liberal francés de Macron, amigo de @CiudadanosCs @Albert_Rivera , enviando al ejército armado para oprimir las manifestaciones contra las políticas criminales de Macron. RT @eSPAINews: #ÚLTIMAHORA 🔴 Tropas del ejército francés entran en #París para sumarse al dispositivo de seguridad que se establecerá el sábado por las protestas de los 'chalecos amarillos'.</t>
  </si>
  <si>
    <t>https://twitter.com/eSPAINews/status/1070702807039336448</t>
  </si>
  <si>
    <t>https://pbs.twimg.com/media/Dtvmhj9X4AEjLjs.jpg</t>
  </si>
  <si>
    <t>Kikolovic</t>
  </si>
  <si>
    <t>La hostia que se ha dado según los medios españoles (y el propio Rivera) lo más parecido a Albert Rivera,el señor Macron,es tan gorda,que de ser de izquierdas sería portada de cada telediario y cada diario.</t>
  </si>
  <si>
    <t>Valencia.</t>
  </si>
  <si>
    <t>Entre balones y letras. Soñando con ver al Valencia levantar la orejona.Sueño sin prisas.</t>
  </si>
  <si>
    <t>Fran López García</t>
  </si>
  <si>
    <t>Cuidar nuestra Constitución, por Albert Rivera</t>
  </si>
  <si>
    <t>https://www.larazon.es/espana/cuidar-nuestra-constitucion-por-albert-rivera-BP20854162</t>
  </si>
  <si>
    <t>La Línea de la Concepción</t>
  </si>
  <si>
    <t>Ldo. Químicas. Máster Dirección Comercial y Marketing. Máster MBA. Comercial. Coordinador y Portavoz @CsLaLinea Papá de mi joven padawan Fran</t>
  </si>
  <si>
    <t>pedro antunez</t>
  </si>
  <si>
    <t>s.h.c</t>
  </si>
  <si>
    <t>Vaya, parece que la política de Macron no van muy bien desde mi modesta opinión , esperemos que para ⁦@Albert_Rivera ,⁩ no sea el espejo en el que mirarse,como dijo si no recuerdo mal !!!</t>
  </si>
  <si>
    <t>https://elpais.com/internacional/2018/12/07/actualidad/1544214890_882576.html</t>
  </si>
  <si>
    <t>Zarzalejos hace equilibrios para no responder la pregunta clave: ¿Ciudadanos debe.posibilitar que Moreno Bonilla sea presidente para lo que es imprescindible el apoyo de Vox? ¿Sí o no? Lo demás son cuentos En @elconfidencial: Rivera, no con Vox</t>
  </si>
  <si>
    <t>Sin el factor humano, la innovación no tiene sentido !!! la vida sigue mas o menos como ayer .</t>
  </si>
  <si>
    <t>jul metamorfeado</t>
  </si>
  <si>
    <t>Bizarro y raro ★</t>
  </si>
  <si>
    <t>Se declaró seguidor d Merkel, después de Tredeau, etc, etc, hasta acabar declarando su amor por Macron. Cuanto tardará el populista hispánico @Albert_Rivera en abandonarlo?  vía @elpais_inter</t>
  </si>
  <si>
    <t>Albert Rivera desilusionado al ver el premio que entregan en los Grammy.</t>
  </si>
  <si>
    <t>https://elpais.com/internacional/2018/12/07/actualidad/1544214890_882576.html?id_externo_rsoc=TW_CC</t>
  </si>
  <si>
    <t>CCCP</t>
  </si>
  <si>
    <t>Tontunas y juguescas. Encantado de conocerme. Estos tweets pueden contener trazas de ironía y/o sarcasmo. Antes morir que perder la vida.</t>
  </si>
  <si>
    <t>Años Luz de la ignorancia</t>
  </si>
  <si>
    <t>Alberto Perez Boix</t>
  </si>
  <si>
    <t>Critico sin fronteras Autocrítico sin control Vasco y ciudadano del universo Explorador del mundo</t>
  </si>
  <si>
    <t>¿Os acordáis de Albert Rivera alegrándose de la victoria de Macron y ensalzando las similitudes programáticas con él? ¿Os...</t>
  </si>
  <si>
    <t>https://www.google.es/amp/www.libremercado.com/2017-08-30/francia-subira-los-impuestos-del-diesel-y-subvencionara-su-abandono-1276605061/amp.html</t>
  </si>
  <si>
    <t>Fuenlabrada</t>
  </si>
  <si>
    <t>#PaleoLiberalismo #Política #Economía #Empresa #Familia #Cofrade #Swim #Tauromaquia Admin. Fincas del CafMadrid - Perito Judicial #LET</t>
  </si>
  <si>
    <t>http://www.gonzalodiez.com</t>
  </si>
  <si>
    <t>Siempre Real y MOU</t>
  </si>
  <si>
    <t>Haber @sanchezcastejon te vas a quedar cruzado de manos sin aplicar el 155 cuando pregonan volver a parar Cataluña ? @vox_es @Albert_Rivera @pablocasado_</t>
  </si>
  <si>
    <t>https://pbs.twimg.com/media/Dt4a7GSX4AUiOh5.jpg</t>
  </si>
  <si>
    <t>MaryTieneUnCorderito</t>
  </si>
  <si>
    <t>#EleccionesGeneralesYa. Es preciso aplicar durante años el 155 con @PPopular,@CiudadanosCs y @Alternativa_VOX. @pablocasado_ @Albert_Rivera</t>
  </si>
  <si>
    <t>sapabla</t>
  </si>
  <si>
    <t>Twitter dedicado a temas políticos. Me defino como español monárquico de centro liberal. Respetuoso con todos aquellos que también respetan a los demás.</t>
  </si>
  <si>
    <t>Licenciado en Ciencias de la Información.Técnico administración local, experto en movimientos sociales, cultura populat, nueva ciudadania(inmigración).</t>
  </si>
  <si>
    <t>http://www.convivenciaysolidaridad.blogspot.com</t>
  </si>
  <si>
    <t>Yolanda</t>
  </si>
  <si>
    <t>Si hace esto « bye bye » @CiudadanosCs espero no lo hagan @Albert_Rivera @InesArrimadas RT @thecentenator: La estrategia real de Rivera es ofrecer al PSOE mantener su estructura intacta en la Junta de Andalucía a cambio de que nombren presidente a Marín, lo que constituye una traición a España y a sus votantes</t>
  </si>
  <si>
    <t>https://twitter.com/thecentenator/status/1070371737093713926</t>
  </si>
  <si>
    <t>pic.twitter.com/Uhnb5aYgBQ</t>
  </si>
  <si>
    <t>Serge</t>
  </si>
  <si>
    <t>Esto sí es para sacar las banderas a los balcones y hacer una manifestación total en España de repulsa y de unidad, por qué no se hace? @vox_es @Santi_ABASCAL @pablocasado_ @ahorapodemos @Pablo_Iglesias_ @ierrejon @sanchezcastejon @Albert_Rivera</t>
  </si>
  <si>
    <t>https://m.publico.es/economia/2071704/la-corrupcion-hace-que-espana-pierda-mas-90000-millones-al-ano</t>
  </si>
  <si>
    <t>La mejor victoria es vencer sin combatir</t>
  </si>
  <si>
    <t>Paquita</t>
  </si>
  <si>
    <t>Colega Rivera, tu a quien tienes que convencer y agradar, es a quien te ha votado en Andalucia, y dejate de tanto postureo. Engreido de pasarela.  RT @ecd_: Albert Rivera tiene un plan para pactar con Vox sin enfadar a sus socios europeos</t>
  </si>
  <si>
    <t>http://somosecd.com/kk_a64
https://twitter.com/ecd_/status/1071319922767208448</t>
  </si>
  <si>
    <t>Josep M Guardiola ن</t>
  </si>
  <si>
    <t>http://www.citizengo.org/hazteoir/pc/167099-al-psoe-ni-agua-sr-rivera?tc=tw&amp;tcid=52579527</t>
  </si>
  <si>
    <t>Catalunya</t>
  </si>
  <si>
    <t>Salvador Cruz (Boro)</t>
  </si>
  <si>
    <t>Senyor obre els meus llavis per proclamar la teva Paraula</t>
  </si>
  <si>
    <t>Albert Rivera da las gracias después de la noche histórica del 2D</t>
  </si>
  <si>
    <t>https://www.facebook.com/salvador.cruzquintana/posts/1947444858625989</t>
  </si>
  <si>
    <t>Las Palmas de Gran Canaria</t>
  </si>
  <si>
    <t>Esto es la bomba</t>
  </si>
  <si>
    <t>https://www.instagram.com/boroscq</t>
  </si>
  <si>
    <t>cesar giner</t>
  </si>
  <si>
    <t>Si ⁦@CiudadanosCs⁩ no pacta nunca con Podemos, ¿debe hacer lo mismo con ⁦@Vox_es⁩ ? ⁦@InesArrimadas⁩ ⁦@Albert_Rivera⁩ Esta es la opinión razonable de ⁦@jazarzalejos⁩ 👇🏽 Rivera, no con Vox</t>
  </si>
  <si>
    <t>Un sevillano madrileño, que es Profesor Titular de Derecho mercantil en la Universidad Carlos III de Madrid.</t>
  </si>
  <si>
    <t>http://cesarginer.wordpress.com/</t>
  </si>
  <si>
    <t>Mikel Lumbreras</t>
  </si>
  <si>
    <t>Me encanta ver como el reinado del terror de Albert Rivera en Francia está cayendo.</t>
  </si>
  <si>
    <t>MARIA53402829</t>
  </si>
  <si>
    <t>Más desigualdad para los ciudadanos va a generar el gobierno de Sánchez ¡¡¡ Da título de nación a Cataluña !!! ¿Y en que va a consistir ese título? @pablocasado_ @Albert_Rivera @vox_es</t>
  </si>
  <si>
    <t>Nafarroa, Euskal Herria</t>
  </si>
  <si>
    <t>Jaio.Musika.Hil ★Jo Ta Ke Irabazi Arte!★ Nafarroako Unibertsitate Publikoan Soziologia ikasten.</t>
  </si>
  <si>
    <t>https://instagram.com/mlumbreras_99/</t>
  </si>
  <si>
    <t>Ciudadanos Pescados</t>
  </si>
  <si>
    <t>Pues parece que en Francia la versión de Albert Rivera no está gustando nada ni a izquierda ni a derecha. RT @europapress: #AMPLIAMOS | La Policía francesa comienza a lanzar gases lacrimógenos mientras crece la tensión en los Campos Elíseos en París</t>
  </si>
  <si>
    <t>Comunidad Valenciana, España</t>
  </si>
  <si>
    <t>Sentir gratitud y no expresarla, es como envolver un regalo y no darlo.</t>
  </si>
  <si>
    <t>https://twitter.com/europapress/status/1071350539328385024
https://bit.ly/2L1S3HE</t>
  </si>
  <si>
    <t>https://pbs.twimg.com/media/Dt4zoRkXgAADQw7.jpg</t>
  </si>
  <si>
    <t>¿El centro?</t>
  </si>
  <si>
    <t>Ni de izquierdas ni de derechas... IBEX 35.</t>
  </si>
  <si>
    <t>https://www.facebook.com/pages/Ciudadanos-Pescados/921115804614055?fref=nf</t>
  </si>
  <si>
    <t>The Huelva York Times</t>
  </si>
  <si>
    <t>Nuestro humorista gráfico nos envía su dibujo del sábado. "VOX ESPONJA" -VIVA ESPAÑA, VIVA EL REY, VIVA EL ORDEN Y LA LEY- @Santi_ABASCAL @pablocasado_ @Albert_Rivera @vox_es @PPopular @PSOE #FelizSábado #FelizFinde #Vox</t>
  </si>
  <si>
    <t>Andrés Díaz</t>
  </si>
  <si>
    <t>#VoxyCiudadanos y sus discípulos: A: de Aznar A: de Abascal A: de Albert Rivera A: de Arrimadas</t>
  </si>
  <si>
    <t>https://pbs.twimg.com/media/Dt4AllGWwAAVZjw.jpg</t>
  </si>
  <si>
    <t>Cataluña, España</t>
  </si>
  <si>
    <t>Sin banderas.</t>
  </si>
  <si>
    <t>Huelva York</t>
  </si>
  <si>
    <t>Información local, nacional, internacional e interestelar.</t>
  </si>
  <si>
    <t>P B Marbe-Malaga</t>
  </si>
  <si>
    <t>Albert Rivera en VI Escuela de Verano DENAES 2012 ☑️ DERECHO NATURAL REPUBLICANO,</t>
  </si>
  <si>
    <t>https://youtu.be/V9YYQDqha-Q?mwy84=5143828657</t>
  </si>
  <si>
    <t>Torremolinos, España</t>
  </si>
  <si>
    <t>Me gusta montar en bicicleta con mi gorrito. La vida es bonita si se es libre</t>
  </si>
  <si>
    <t>Saly Evans</t>
  </si>
  <si>
    <t>Gustavo Ugarte</t>
  </si>
  <si>
    <t>Ciudadanos debe cumplir la función para la que nació,si no nos sirve</t>
  </si>
  <si>
    <t>http://www.citizengo.org/hazteoir/pc/167099-al-psoe-ni-agua-sr-rivera?tc=tw&amp;tcid=52579073</t>
  </si>
  <si>
    <t>Garmisch-Partenkirchen, Aleman</t>
  </si>
  <si>
    <t>marisabidilla de twitter</t>
  </si>
  <si>
    <t>👤</t>
  </si>
  <si>
    <t>uǝǝɹıol</t>
  </si>
  <si>
    <t>Me voy a marcar como objetivo de 2019 que me bloquee en twitter también Abascal y así se sume al subnormal de @Albert_Rivera.</t>
  </si>
  <si>
    <t>Darkness Falls</t>
  </si>
  <si>
    <t>We tried our best. In the rain, in the wind. In the storm.</t>
  </si>
  <si>
    <t>http://twitch.tv/loireen</t>
  </si>
  <si>
    <t>Libertadfraternidad</t>
  </si>
  <si>
    <t>@psoedeandalucia Os vais absterner como hiciste con Rajoy???? @PSOE @abalosmeco</t>
  </si>
  <si>
    <t>Pablo Caparrós</t>
  </si>
  <si>
    <t>Y porqué no? Cualquier inversión en industria, comercio o agricultura que desee realizar cualquier empresa española contará con la siguiente ayuda pública: Los terrenos públicos donde se instalen serán a coste 0. Es tan difícil @Albert_Rivera @Santi_ABASCAL @pablocasado_</t>
  </si>
  <si>
    <t>Ciudadana del mundo indignada y impotente de ver los ciudadanos de mi país que pasan necesidades por culpa de unos votantes complices del saqueo</t>
  </si>
  <si>
    <t>Defendiendo 🇪🇸. Jesucristo nos dió un mensaje Enorme que solemos ignorar, y así nos va. Si estás dispuesto a cambiar tu visión, estás dispuesto a ser libre.</t>
  </si>
  <si>
    <t>Sergio Chesán</t>
  </si>
  <si>
    <t>Todos sabemos que si lo de Francia no está teniendo la cobertura que merece en los grandes medios españoles, no es sino porque llevan dos años ensalzando a Macron y asociando su imagen a la de Albert Rivera.</t>
  </si>
  <si>
    <t>Barcelona / Tenerife</t>
  </si>
  <si>
    <t>Perroflauta y basura radical. Autor de «Los últimos días del espantapájaros» y otras mierdas. Colaborador en @LitFem_ http://instagram.com/sergchesan/</t>
  </si>
  <si>
    <t>http://sergchesan.tumblr.com/</t>
  </si>
  <si>
    <t>Aurora Suárez</t>
  </si>
  <si>
    <t>No se le puede pedir más a la cena que @Cs_SantBoi ha celebrado en su caseta de la @purissimaSB. Gente normal haciendo cosas maravillosas por Sant Boi ( @Albert_Rivera ) dixit.</t>
  </si>
  <si>
    <t>@Europarl_ES @PrensaCE El plan de Rivera para gobernar con los fascistas Españoles ¿Que opinan los políticos Europeos?? Nos quieren meter a los ultras en los gobiernos autonómicos!!! La democracia muere en España!!!</t>
  </si>
  <si>
    <t>https://pbs.twimg.com/media/Dt26i7sXgAg_mx5.jpg</t>
  </si>
  <si>
    <t>Sant Boi de Llobregat</t>
  </si>
  <si>
    <t>Madre, autónoma y luchadora. Decoración y diseño de espacios. Coordinadora Cs Sant Boi. Secretaria Provincial de Relaciones Institucionales en Cs</t>
  </si>
  <si>
    <t>Nielonetti</t>
  </si>
  <si>
    <t>Albert rivera siempre lleva #GRAMMYs #Límitesdeltushuevos</t>
  </si>
  <si>
    <t>ᴱˢᶜᴿᴵᵀᴼᴿ de historias y cachos. Creador... Siempre haciendo cosas 🛸</t>
  </si>
  <si>
    <t>Nor A Pagano</t>
  </si>
  <si>
    <t>http://www.citizengo.org/hazteoir/pc/167099-al-psoe-ni-agua-sr-rivera?tc=tw&amp;tcid=52577396</t>
  </si>
  <si>
    <t>Ciudad Autónoma de Buenos Aire</t>
  </si>
  <si>
    <t>Francisco Almeda</t>
  </si>
  <si>
    <t>Sigmados es la empresa que daba como presidente del gobierno junto con Metroscopia a Albert Rivera. Mienten mas que Casado, Rivera y Abascal juntos. RT @pmklose: El 80% viene de la derecha, pero titular es libre</t>
  </si>
  <si>
    <t>https://twitter.com/pmklose/status/1071333717870821376
https://www.elmundo.es/andalucia/2018/12/08/5c0ae1dbfdddff03a38b45fc.html</t>
  </si>
  <si>
    <t>Socialista, orgulloso del PSOE y su militancia. Abogado.</t>
  </si>
  <si>
    <t>http://noalppgurteldiseloatusamigos.blogspot.com.es/</t>
  </si>
  <si>
    <t>Francisco López ®</t>
  </si>
  <si>
    <t>Gobierno de Coalición #PP - #Cs: Próximo Gobierno del #cambio para #Andalucía: 👏🏻👏🏻👏🏻👏🏻</t>
  </si>
  <si>
    <t>https://www.elconfidencialdigital.com/articulo/politica/albert-rivera-tiene-plan-pactar-vox-enfadar-socios-europeos/20181207212045119111.html?utm_medium=social&amp;utm_source=Facebook</t>
  </si>
  <si>
    <t>• Sé la mejor versión de ti mismo • | 👔@indraCompany Banking Consultant | 🐶 Father | 📍 Madrid (🇪🇸Spain). Afiliado de @ciudadanosCs</t>
  </si>
  <si>
    <t>https://www.instagram.com/fcoliber/</t>
  </si>
  <si>
    <t>alcrey</t>
  </si>
  <si>
    <t>http://www.citizengo.org/hazteoir/pc/167099-al-psoe-ni-agua-sr-rivera?tc=tw&amp;tcid=52577266</t>
  </si>
  <si>
    <t>Rogerdaflor</t>
  </si>
  <si>
    <t>Casado, Rivera, Abascal: este hombre es profético. Ahora toca frenar en seco el separatismo. Albert Boadella alerta sobre Cataluña: "O se interviene varios años o nos comemos la independencia"  vía @libertaddigital</t>
  </si>
  <si>
    <t>Jessika</t>
  </si>
  <si>
    <t>"...y hay estaba..." Ni escribir saben estos inteligentes... Será que el miedo a @vox_es los tiene tan mal? @Santi_ABASCAL @pablocasado_ @Albert_Rivera @susannagriso @okdiario @A3Noticias @EspejoPublico @_anapastor_ @eslamananadeFJL @FJL_EsRadio RT @pita1917malaga: No seáis mal pensados. Las cosas no son lo que parecen. Santiago Abascal no es franquista. Simplemente sintió un impulso irrefrenable de hacer unas flexiones... y hay estaba la tumba de Franco. No más. 😚</t>
  </si>
  <si>
    <t>https://www.libertaddigital.com/espana/2018-12-08/albert-boadella-alerta-sobre-cataluna-o-se-interviene-varios-anos-o-nos-comemos-la-independencia-1276629565/</t>
  </si>
  <si>
    <t>https://twitter.com/pita1917malaga/status/1070982559272763392</t>
  </si>
  <si>
    <t>https://pbs.twimg.com/media/DtzktrRX4AAVLRM.jpg</t>
  </si>
  <si>
    <t>Buscador de la Verdad. No me interesa el mundo más que como un medio para viajar hacia ella.</t>
  </si>
  <si>
    <t>Venezuela</t>
  </si>
  <si>
    <t>Rectificare sapientis est / Más crítica y afinando la observación...</t>
  </si>
  <si>
    <t>Mario Martín Lucas</t>
  </si>
  <si>
    <t>"Rivera, no con #Vox", #opinion de @jazarzalejos</t>
  </si>
  <si>
    <t>El Perro Verde (@javi)</t>
  </si>
  <si>
    <t>Este será el nuevo cuerpo de la guardia civil si llega a mandar el PP en Andalucía. Firmado.. @Albert_Rivera.</t>
  </si>
  <si>
    <t>Formador y Coach Ejecutivo. Master en Gestión Financiera por UCM. Competidor apasionado del deporte. También #CríticaTeatral en http://www.traslamascara.com</t>
  </si>
  <si>
    <t>http://traslamascara.com</t>
  </si>
  <si>
    <t>https://pbs.twimg.com/media/Dt2kQYxW4AAwlXo.jpg</t>
  </si>
  <si>
    <t>OVIEDO..........ASTURIAS......</t>
  </si>
  <si>
    <t>Hoy puede ser un gran día como dice la canción🌹🌹🌹 La vida ya es muy dura de por sí no pongas las cosas peor🌹🌹🌹 ¡¡ Y por fin sucedió ya es Historia !!.</t>
  </si>
  <si>
    <t>Amalia Blanco</t>
  </si>
  <si>
    <t>Lo tienen complicado. Creo que sus votantes tampoco entenderían que permaneciese un gobierno del ⁦⁦@PSOE existiendo alternativa. Estaría ⁦@susanadiaz⁩ dispuesta a apoyar la presidencia de ⁦@JuanMarin_Cs⁩ ⁦? @jazarzalejos⁩</t>
  </si>
  <si>
    <t>Aranda, Denia, Madrid, Europa</t>
  </si>
  <si>
    <t>#Cine, #acontracorriente, viajes con @mimundotravel2 , orgullosa de trabajar en @bankia y de ser del Atléti y de @los50Atleti.</t>
  </si>
  <si>
    <t>Mauro Alessandrini</t>
  </si>
  <si>
    <t>#40AñosDeConstitución | Cuidar nuestra Constitución, por @Albert_Rivera.</t>
  </si>
  <si>
    <t>Sito llñll</t>
  </si>
  <si>
    <t>Le preocupa no enfadar a sus socios europeos y no le preocupa defraudar a los españoles.</t>
  </si>
  <si>
    <t>https://pbs.twimg.com/media/Dt4lomcWsAA4oZO.jpg</t>
  </si>
  <si>
    <t>Cipolletti, Argentina</t>
  </si>
  <si>
    <t>Unity &amp; Freedom | Plus Ultra | LIBERAL y Runner 🏃 Boca Juniors 💙💛💙 Atlético de Madrid 🔴⚪🔴 #Cambiemos 🇦🇷 #Ciutadans 🇪🇸 #FueraMaduro 🇻🇪</t>
  </si>
  <si>
    <t>J.Bravo no se retiene Cumplid pronto la sentencia pero llamarnos traidores nadie podra en esta tierra Mientes tu vil pregonero y aquel a quien obedezcas Cas.Esp</t>
  </si>
  <si>
    <t>Antonio Rguez Torres</t>
  </si>
  <si>
    <t>Supongo que ahora en este tweet pedirán perdón esos socialistas, conservadores y comunistas por echar porquería sobre las cuentas de mi partido @CiudadanosCs y sobre mi Presi @Albert_Rivera! Deseo no tener que esperar mucho, si es posible antes de que acabe el siglo! 😒😒😒🤔⏳⏰</t>
  </si>
  <si>
    <t>https://pbs.twimg.com/media/Dt2ZsYUXQAA_CJ6.jpg</t>
  </si>
  <si>
    <t>Dos Hermanas (Sevilla)</t>
  </si>
  <si>
    <t>✍ Sólo el que sabe es libre y más libre el que más sabe. No proclaméis la libertad de volar, sino dad alas. Unamuno 🇪🇸🇪🇺🤝👣</t>
  </si>
  <si>
    <t>https://www.finanzasparamortales.es/</t>
  </si>
  <si>
    <t>Confidencial Digital</t>
  </si>
  <si>
    <t>Albert Rivera sabe cómo explicar a sus socios europeos un pacto con Vox</t>
  </si>
  <si>
    <t>http://somosecd.com/kkbwa4</t>
  </si>
  <si>
    <t>+34 91 445 96 97 Madrid, Spain</t>
  </si>
  <si>
    <t>Mónica Sánchez-Rubio</t>
  </si>
  <si>
    <t>“No podemos negarlo, el gran triunfador de Andalucía ha sido Ciudadanos,si co-lidera el cambio en Andalucía y dispone de unos buenos candidatos en mayo, tendrá un resultado espectacular”El dilema d @CiudadanosCs @Albert_Rivera @enavarrogil  @libertaddigital</t>
  </si>
  <si>
    <t>https://www.libertaddigital.com/opinion/enrique-navarro/el-dilema-de-ciudadanos-86652/</t>
  </si>
  <si>
    <t>El twitter de las personas informadas que desean estar más informadas. http://somosecd.com/8m0gl socios@elconfidencialdigital.com</t>
  </si>
  <si>
    <t>http://www.elconfidencialdigital.com/</t>
  </si>
  <si>
    <t>Global citizen</t>
  </si>
  <si>
    <t>Entrepreneur at heart | Relaciones Institucionales, Comunicación y Diplomacia Corporativa | m&amp;m’s | Esgrimista 🤺, Wanderlust, Artlover @_goarts_ Leyendo...</t>
  </si>
  <si>
    <t>Francisco Rubira</t>
  </si>
  <si>
    <t>http://dlvr.it/Qt78d1</t>
  </si>
  <si>
    <t>https://pbs.twimg.com/media/Dt4jLzYU8AAu0fH.jpg</t>
  </si>
  <si>
    <t>Leading the business development at http://www.elconfidencialdigital.com frubira@elconfidencialdigital.com Working Hard. Party Hard. +34 617 116 766</t>
  </si>
  <si>
    <t>http://www.linkedin.com/in/frubira</t>
  </si>
  <si>
    <t>Llegará el momento de pedir cuentas, empezando por Zapatero hasta llegar a toda persona que ha podido apoyar esta caza de "brujos"... La mayoría padres y hombres casi intachables. #Existen #UngaUngaArmy #CustodiaCompartida #noalindulto @vox_es @Albert_Rivera @pablocasado_ RT @JODACAL21: @CarrascoAntonia @igualdadpsoem Cuando hay💲de por medio,cuando hay un totalitarismo revanchista que imponer en nombre del feminismo, la vergüenza desaparece.El socialismo es base de todos los totalitarismos hasta la fecha,con el feminismo radical no hacen más que tomar una nueva "vieja" deriva.España no olvida</t>
  </si>
  <si>
    <t>Alnilam</t>
  </si>
  <si>
    <t>“Su dialéctica sin concesiones al nacionalismo catalán (y al vasco) no es una expresión ideológica extrema de Ciudadanos, sino una retórica liberal convencida que combate la exclusión, la endogamia y el egoísmo social y económico.”</t>
  </si>
  <si>
    <t>https://twitter.com/JODACAL21/status/1071157363858640896</t>
  </si>
  <si>
    <t>Orion's belt. Epsilon Orionis</t>
  </si>
  <si>
    <t>Carlota Muñoz</t>
  </si>
  <si>
    <t>Interesante análisis.</t>
  </si>
  <si>
    <t>Periodista. Tesón y pasión a partes iguales. En clave de PIB</t>
  </si>
  <si>
    <t>http://dlvr.it/Qt77gb</t>
  </si>
  <si>
    <t>https://pbs.twimg.com/media/Dt4hdrFU8AAFP8K.jpg</t>
  </si>
  <si>
    <t>Ana.PG</t>
  </si>
  <si>
    <t>Casado aspira a un "pacto global" con Cs antes del 27D, al que después se una VOX- Libertad Digital | Versión Móvil (mobile) 👏👏👏👏👏👏👏👏👏👏👏👏👏👏👏👏👏  @PPopular @pablocasado_ @Albert_Rivera @vox_es 👏👍🇪🇸.</t>
  </si>
  <si>
    <t>https://www.libertaddigital.com/espana/politica/2018-12-06/casado-abre-ya-la-negociacion-con-rivera-sobre-andalucia-el-objetivo-pacto-global-antes-del-27d-1276629490/</t>
  </si>
  <si>
    <t xml:space="preserve">alicante </t>
  </si>
  <si>
    <t>Ana Castrillo</t>
  </si>
  <si>
    <t>http://www.citizengo.org/hazteoir/pc/167099-al-psoe-ni-agua-sr-rivera?tc=tw&amp;tcid=52575881</t>
  </si>
  <si>
    <t>Antonio Arroyo</t>
  </si>
  <si>
    <t>Vamos @Albert_Rivera que ya me he comprado el equipo. ENSEÑAME YA A PESCAR HIJO DE PUTA.</t>
  </si>
  <si>
    <t>https://pbs.twimg.com/media/Dt2GdB2WsAIv2pP.jpg</t>
  </si>
  <si>
    <t>Javier Arnal Agustín</t>
  </si>
  <si>
    <t>San Fernando, España</t>
  </si>
  <si>
    <t>Sobreviviendo. Soy del Cádiz antes que persona. . . . 📢Vivir cada paso, que estamos de paso📢</t>
  </si>
  <si>
    <t>http://cadizcf.com</t>
  </si>
  <si>
    <t>Castellón (España)</t>
  </si>
  <si>
    <t>Delegado de El Confidencial Digital en la Comunidad Valenciana, Delegado Canal 9 en Castellón (2000-2013) y antes Delegado ABC Comunidad Valenciana</t>
  </si>
  <si>
    <t>http://javierarnal.wordpress.com</t>
  </si>
  <si>
    <t>juan miguel</t>
  </si>
  <si>
    <t>Sólo sabe decir mal del President? Surrealismo o realidad virtual en lo que dice @Albert_Rivera ? RT @Albert_Rivera: Torra pretende purgar a los Mossos que cumplen con su obligación mientras anima a los comandos separatistas para que sigan apretando, coaccionando y amedrentando a los catalanes constitucionalistas. Bien @Lroldansu poniendo al supremacista en su sitio👇🏻</t>
  </si>
  <si>
    <t>https://twitter.com/Albert_Rivera/status/1071057133142192128</t>
  </si>
  <si>
    <t>pic.twitter.com/OZfAb94mCU</t>
  </si>
  <si>
    <t>Sacerdote Español en Santiago de Cali</t>
  </si>
  <si>
    <t>Alfredo P.C. 🇪🇸</t>
  </si>
  <si>
    <t>Carcalejos, cada vez más patético</t>
  </si>
  <si>
    <t>Luís</t>
  </si>
  <si>
    <t>Este @Albert_Rivera va cometer exactamente el mismo error que cometió esta @rosadiezglez cuando pasó de @CiudadanosCs y empezó a desaparecer 🙌 Los enemigos de los partidos suelen estar dentro 😉 RT @RosaMSJ2: @desamparadosb Si @Albert_Rivera apoya ahora al PSOE en Andalucía ...flaco favor estará haciendo a su partido @CiudadanosCs y a sus votantes,porque NO le perdonarán esta nueva traición a España y TODOS españoles,NI entenderán,que apoyen a un partido cuya cúp/está salpicada de corrup/por+40 años</t>
  </si>
  <si>
    <t>Murcia &amp; Bullas, Spain</t>
  </si>
  <si>
    <t>Médico rural. Me interesa:🎬 cine, 📖 libros, 🎼 folk,prog rock, 🏔️ montaña, 🌧️ meteo, 🙏⛪ católico, 👨‍👩‍👧‍👦 👶 familia, ⚽ Real Murcia, ✌️🗣️ Vox España</t>
  </si>
  <si>
    <t>https://twitter.com/RosaMSJ2/status/1070245287837528064</t>
  </si>
  <si>
    <t>concursante</t>
  </si>
  <si>
    <t>GPinarPeña</t>
  </si>
  <si>
    <t>vía @Confidencial Digital</t>
  </si>
  <si>
    <t>https://www.elconfidencialdigital.com/articulo/politica/albert-rivera-tiene-plan-pactar-vox-enfadar-socios-europeos/20181207212045119111.html&amp;utm_source=social&amp;utm_medium=twitter&amp;utm_campaign=share_button</t>
  </si>
  <si>
    <t>Jose Luis</t>
  </si>
  <si>
    <t>Cuando va a salir esta noticia en @A3Noticias, @informativost5 o @rtve ? Sera dificil. Pero claro, no han tenido miramiento para machacarnos con unas pintadas en cataluña. ¿ va a condenar esto @Albert_Rivera? #FelizSabado RT @iuantequera: Hoy es un día triste para #Antequera el ataque de la extrema derecha violenta y fascista a nuestra sede, es el reflejo de sus políticas violentas, machistas y xenófobas. Nos quieren con miedo, nos hacen más fuertes!! No pasarán ✊🏽!!</t>
  </si>
  <si>
    <t>Español. Historia, ciencia y actualidad. #AntiNOM. No al comunismo. No al terrorismo. No al blanqueamiento de ETA #NiOlvidoNiPerdón</t>
  </si>
  <si>
    <t>Juan José Molina</t>
  </si>
  <si>
    <t>El centro liberal es el punto más alejado de los extremos populistas y ahí debemos permanecer. En @elconfidencial: Rivera, no con Vox</t>
  </si>
  <si>
    <t>https://twitter.com/iuantequera/status/1071007155753496582</t>
  </si>
  <si>
    <t>https://pbs.twimg.com/media/Dtz7Uo2WsAEmS2-.jpg</t>
  </si>
  <si>
    <t>Presidente de la C. de Educación y Cultura de la Asamblea R. de Murcia. S. General del G. Parlamentario de C's en Murcia.Pintor, escritor y piragüista.</t>
  </si>
  <si>
    <t>http://www.equilibriarte.net/site/molina</t>
  </si>
  <si>
    <t>Leganés, España</t>
  </si>
  <si>
    <t>Si quieres contestarme, hazlo. Pero no insultes, que demuestras tu poca cultura. Pero si utilizas el insulto para contestar, permiteme que haga lo mismo.</t>
  </si>
  <si>
    <t>Juan Cruz Cigudosa</t>
  </si>
  <si>
    <t>Maldita emeroteca @Albert_Rivera RT @miguel_delarosa: 🤔 ¿Os acordáis cuando @Albert_Rivera decía que votaría que no a quien intente formar un grupo de perdedores para desbancar a la lista más votada? Porque él no lo recuerda</t>
  </si>
  <si>
    <t>https://twitter.com/miguel_delarosa/status/1070432739042750464</t>
  </si>
  <si>
    <t>pic.twitter.com/HwpCZM1EMt</t>
  </si>
  <si>
    <t>CSO Co-founder NIMGenetics, ex-CNIO Unit Leader, President AEGH</t>
  </si>
  <si>
    <t>http://www.nimgenetics.com</t>
  </si>
  <si>
    <t>Tutánkabron</t>
  </si>
  <si>
    <t>en este país políticos como Albert Rivera animan a la policía a saltarse las leyes aprobadas en los parlamentos. Albert el constitucionalista de pacotilla. #FelizSábado #InmaculadaConcepción</t>
  </si>
  <si>
    <t>https://pbs.twimg.com/media/Dt4a0HOW0AEXlVG.jpg</t>
  </si>
  <si>
    <t>🎗 Vaga de Fam. Dia 8🎗</t>
  </si>
  <si>
    <t>Barcelona, Catalunya</t>
  </si>
  <si>
    <t>Leyendo su programa, por fin sabemos que significan las siglas de @vox_es de @Santi_ABASCAL y @Ortega_Smith #ViolenciaOdioXenofobia Adelantando por la #ultraderecha a @PPopular @pablocasado_ y @CiudadanosCs @albert_rivera</t>
  </si>
  <si>
    <t>Groc, però no només groc. Anticorruptos, almenos nos tendrán que oir. Libertad de Expresión. Separación de Poderes. Derogació de la Reforma laboral!</t>
  </si>
  <si>
    <t>Luisa</t>
  </si>
  <si>
    <t>República Catalana</t>
  </si>
  <si>
    <t>Espai destinat a la busqueda i promoció de noticies sobre la independencia de Catalunya</t>
  </si>
  <si>
    <t>Verónica</t>
  </si>
  <si>
    <t>Como dice nuestro presidente @Albert_Rivera "No pedimos permiso, pedimos paso" 🔸️Nuestro objetivo es trabajar por y para los vecinos 🔸️ Seguiremos haciendo #PoliticaÚtil 🔸️ Tenemos ganas, tenemos ilusión y tenemos #Equipo Hemos venido para quedarnos #JuntosSomosImparables RT @SesenaCs: 🍊¡#BuenosDías y #FelizViernes! Continuamos impulsando medidas y propuestas para mejorar la vida de los seseñeros, así como trasladar el proyecto de regeneración democrática de Ciudadanos ¡Seguimos! 🍊💪🏻 👉🏻</t>
  </si>
  <si>
    <t>Pitágora de Samos</t>
  </si>
  <si>
    <t>https://twitter.com/SesenaCs/status/1070984435040956416
http://toledo.ciudadanos-cs.org/2018/12/06/ciudadanos-cs-sesena-renueva-su-junta-directiva/</t>
  </si>
  <si>
    <t>Albert Rivera en VI Escuela de Verano DENAES 2012 ✔️ Política,</t>
  </si>
  <si>
    <t>https://youtu.be/V9YYQDqha-Q?rcb38=2109392270</t>
  </si>
  <si>
    <t>Seseña</t>
  </si>
  <si>
    <t>Madre, enfermera y runner Seseñera de adopción Coordinadora de @SesenaCs ¡Luchando por conseguir un sueño!</t>
  </si>
  <si>
    <t>World</t>
  </si>
  <si>
    <t>Pitágoras de Samos fue matemático, filósofo. El teorema de Pitágoras, llamado así por Euclides, ya era conocido con mucha anterioridad a Pitágoras.</t>
  </si>
  <si>
    <t>Ortiz</t>
  </si>
  <si>
    <t>Una pregunta para @CiudadanosCs, @GirautaOficial, @Albert_Rivera. ¿Sois conscientes de que la izquierda intenta estigmatizar a Vox para que no pactéis con ellos? ¿Váis a caer en esa trampa? La izquierda que pacta con Bildu y con Junqueras, digo. Esa.</t>
  </si>
  <si>
    <t>CharlieAllnut 33 13ن</t>
  </si>
  <si>
    <t>Liberal clásico.</t>
  </si>
  <si>
    <t>Comento lo que me apetece. Política, fútbol, religión... Católico. Del Madrid. Provida. Si no te gusta, no molestes. Derechas sin siglas.</t>
  </si>
  <si>
    <t>Maraba</t>
  </si>
  <si>
    <t>Prédica con el ejemplo, Andalucía lo dejó muy claro #PPCSVOXporElCambio Presidente @JuanMa_Moreno Gobierno de coalición Estás tardando @Albert_Rivera RT @CiudadanosCs: 🇪🇦 Tenemos que ser la España que suma, no que resta, que une, no que divide, la España que defiende valores, no etiquetas 📽 A continuación el resumen del acto #40añosDeConstitución en el Liceu de Barcelona con la participación de @Albert_Rivera, @InesArrimadas y @manuelvalls</t>
  </si>
  <si>
    <t>https://twitter.com/CiudadanosCs/status/1070764460556644353</t>
  </si>
  <si>
    <t>pic.twitter.com/IrI9Ye8pST</t>
  </si>
  <si>
    <t>Me gusta leer, opinar, aprender</t>
  </si>
  <si>
    <t>Mathu_salen</t>
  </si>
  <si>
    <t>Jubilado en activo.</t>
  </si>
  <si>
    <t>CRUZ GUERRA</t>
  </si>
  <si>
    <t>http://www.citizengo.org/hazteoir/pc/167099-al-psoe-ni-agua-sr-rivera?tc=tw&amp;tcid=52574336</t>
  </si>
  <si>
    <t>Ing. de Minas. especialista en canteras y operaciones mineras/Perforación/ Voladuras/Plantas mineras. Venta de equipos Trio/Surestrike/Boart Longyear.</t>
  </si>
  <si>
    <t>Cs Región de Murcia</t>
  </si>
  <si>
    <t>📽 @Albert_Rivera "Señor Sánchez no es gratis pactar con Rufián, con Torra, con Puigdemont, no es gratis. Los andaluces han tomado buena nota de ello" #ActualidadCs</t>
  </si>
  <si>
    <t>pic.twitter.com/E9sILQUTX9</t>
  </si>
  <si>
    <t>Región de Murcia</t>
  </si>
  <si>
    <t>Twitter oficial de Ciudadanos Cs Región de Murcia. Regenerando la política.</t>
  </si>
  <si>
    <t>https://www.ciudadanos-cs.org</t>
  </si>
  <si>
    <t>Pablo Sánchez</t>
  </si>
  <si>
    <t>Raúl♒</t>
  </si>
  <si>
    <t>esto es una vergüenza @Albert_Rivera , @pablocasado_ , @Pablo_Iglesias_ Explicárselo a @sanchezcastejon más q oposición de justicia es de injusticia.RT @ESFOJU: Escándalo en Justicia: opositores acusan a Gobierno y sindicatos de regalar plazas a interinos</t>
  </si>
  <si>
    <t>https://twitter.com/ESFOJU/status/1070951092144476160?s=19
https://www.elindependiente.com/economia/2018/12/07/escandalo-en-justicia-opositores-acusan-a-gobierno-y-sindicatos-de-regalar-plazas-a-interinos/?utm_source=share_buttons&amp;utm_medium=twitter&amp;utm_campaign=social_share</t>
  </si>
  <si>
    <t>Vigo, Galifornia</t>
  </si>
  <si>
    <t>P.E. teacher, mestre de primaria, celtista e vigués por riba de todo</t>
  </si>
  <si>
    <t>Gandia</t>
  </si>
  <si>
    <t>Lo único que necesita el mal para triunfar es que las buenas personas no hagan nada.</t>
  </si>
  <si>
    <t>Onesimo Eduardo</t>
  </si>
  <si>
    <t>Interesante artículo de @jazarzalejos En @elconfidencial: Rivera, no con Vox.</t>
  </si>
  <si>
    <t>Irónico Cabreado</t>
  </si>
  <si>
    <t>Albacete, España</t>
  </si>
  <si>
    <t>La frecuencia con la que se usa hoy en dia expresiones como "facha" "fascista" "rojo"... asusta y refleja lo dividida que esta la sociedad. @sanchezcastejon @Pablo_Iglesias_ @pablocasado_ @Albert_Rivera @agarzon @JuanMarin_Cs @gabrielrufian @pnique ¿Q tal si hay + diálogo ?</t>
  </si>
  <si>
    <t>Coordinador comercial en FORMALBA. Licenciado en ADE. Docente de FPE. Diputado de Cs la XI Legislatura. Secretario provincial de RRII de Cs.</t>
  </si>
  <si>
    <t>El indigno e indecente Albert Rivera habla mucho y hace poco:</t>
  </si>
  <si>
    <t>https://pbs.twimg.com/media/Dt4SH7-W0AUqpta.jpg</t>
  </si>
  <si>
    <t>Beat Miró</t>
  </si>
  <si>
    <t>#Españoles, nunca olviden que @Santi_ABASCAL es #vasco y @Albert_Rivera #catalán, no lo olviden.</t>
  </si>
  <si>
    <t>Entrevista a Albert Rivera RIVERA es MÁS PELIGROSO que PABLO IGLESIAS 📣 POR LA REPÚBLICA CONSTITUCIONAL, ⚠️ PARTIDOS DE ESTADO,</t>
  </si>
  <si>
    <t>https://pbs.twimg.com/media/Dt1gdhcW4AAp5XN.jpg</t>
  </si>
  <si>
    <t>https://goo.gl/LgNNqq?cqu31=8277049210</t>
  </si>
  <si>
    <t>Sant Joan de les Abadesses</t>
  </si>
  <si>
    <t>Català, etern candidat a la santedat. Ciutadà de la República Catalana.</t>
  </si>
  <si>
    <t>Alain Cuenca</t>
  </si>
  <si>
    <t>"albergo dudas muy serias de que el "cordón sanitario" en torno a Vox le debilite. Al contrario, sospecho que le fortalecería"</t>
  </si>
  <si>
    <t>L. Curiel</t>
  </si>
  <si>
    <t>http://www.citizengo.org/hazteoir/pc/167099-al-psoe-ni-agua-sr-rivera?tc=tw&amp;tcid=52573436</t>
  </si>
  <si>
    <t>Nací en 1960 (Vic-en-Bigorre, Francia), hijo y nieto de granadinxs. Vivo con @LauraFreixas. Desde el 23 de julio de 2018 soy director general del @IEF_ES</t>
  </si>
  <si>
    <t>http://www.ief.es/Instituto/organizacion_administrativa.vbhtml</t>
  </si>
  <si>
    <t>España languidece y se rompe por culpa de una Casta Política corrupta. Es hora de cambiarla por gente decente: Con VOX</t>
  </si>
  <si>
    <t>efag</t>
  </si>
  <si>
    <t>Alguien ha visto alguna vez que al que queda segundo en un deporte de competición le den la medalla de oro? No, señor @Albert_Rivera su partido ha quedado segundo en el pacto de centro -derechas que ha votado Andalucia. Sea coherente por una vez y apoye un gobierno de derechas</t>
  </si>
  <si>
    <t>Phil Man.</t>
  </si>
  <si>
    <t>Una cosa tiene razón Albert Rivera, él es el Macron español. Votarle y será ésto RT @helixx85: Aquesta imatge és la derrota de Macron definitiva, igual que ho va ser el 1-OCT per ESP</t>
  </si>
  <si>
    <t>https://twitter.com/helixx85/status/1071008160096366592
https://twitter.com/_ju1_/status/1070822535686696965</t>
  </si>
  <si>
    <t>Si no estáis prevenidos ante los Medios de Comunicación, os harán amar al opresor y odiar al oprimido. Malcolm X</t>
  </si>
  <si>
    <t>Fernando Jiménez ¡¡Español!!</t>
  </si>
  <si>
    <t>Señor Zarzalejos, y demas periodistas, os dais cuenta que estais ya prejuzgando un pacto...</t>
  </si>
  <si>
    <t>https://blogs.elconfidencial.com/espana/notebook/2018-12-08/vox-albert-rivera-pactos-andalucia-centro-europeista_1692818/?utm_source=facebook&amp;utm_medium=social&amp;utm_campaign=BotoneraWeb</t>
  </si>
  <si>
    <t>José Antonio Fernánd</t>
  </si>
  <si>
    <t>El Tribunal de Cuentas descarta anomalías en la contabilidad de @CiudadanosCs. El organismo ha dicho que "no existe infracción alguna sancionable imputable" a la formación de @Albert_Rivera , algo de lo que le acusaba el Partido Popular</t>
  </si>
  <si>
    <t>http://www.facebook.com/fernando.jimenez.12720</t>
  </si>
  <si>
    <t>https://www.vozpopuli.com/politica/TCuentas-anomalias-contabilidad-Cs-PP_0_1197780719.html</t>
  </si>
  <si>
    <t>A Coruña</t>
  </si>
  <si>
    <t>Activista social, me gusta el comercio</t>
  </si>
  <si>
    <t>Pablo Sáez</t>
  </si>
  <si>
    <t>A Albert Rivera le preocupa no enfadar a sus socios europeos. En @vox_es nos preocupa no defraudar a los españoles. Una gran diferencia.  vía @ecd_</t>
  </si>
  <si>
    <t>israel cervantes</t>
  </si>
  <si>
    <t>Quiero desde aquí y con mi escasa repercusión hacerle llegar a @Albert_Rivera y asu partido @CiudadanosCs que:Cualquier otro pacto que no sea desalojar a la izquierda de San Telmo y limpiar bajo las alfombras, va a ser la caída mas estrepitosa desde @UPYD (con todos mis respetos)</t>
  </si>
  <si>
    <t>Nací en Valladolid. Soy economista y firme partidario del liberalismo. Creo en la importancia de los valores y el compromiso. Español. Consejo Político de VOX.</t>
  </si>
  <si>
    <t>http://unosapuntesalmargen.blogspot.com.es</t>
  </si>
  <si>
    <t>PROVINCIA DE CARTAGENA, ESPAÑA</t>
  </si>
  <si>
    <t>Emilio Doria</t>
  </si>
  <si>
    <t>Cansado de lo politicamente correcto. Digo las cosas como son. Si te gusta me sigues. Defensor de la restitución de la provincia de Cartagena. http://amaresregalos.es</t>
  </si>
  <si>
    <t>Todos aquellos que vieron a Macron como la esperanza de Europa, el Albert Rivera francés. Vuestro silencio os delata. RT @PadMediaFiles: #15M ¿Por qué el pueblo francés está en la calle? Escucha. Y pregúntate si en España SUBEN sistemáticamente: Agua, Luz, Gas, Alquiler y REDUCEN: Salarios, Sanidad, Educación, Dependiencia, Ayudas Sociales ... ¿Por qué los "españoles" NO ESTÁN EN LA CALLE?</t>
  </si>
  <si>
    <t>http://www.qendra.es</t>
  </si>
  <si>
    <t>https://twitter.com/PadMediaFiles/status/1070829206676914176</t>
  </si>
  <si>
    <t>pic.twitter.com/OjsGw5g9YX</t>
  </si>
  <si>
    <t>Tècnic de Labora Espai Empreses. Politòleg de vocació, no de professió.</t>
  </si>
  <si>
    <t>https://www.instagram.com/emilioborrell/?hl=es</t>
  </si>
  <si>
    <t>José A. Fernández</t>
  </si>
  <si>
    <t>El Plural</t>
  </si>
  <si>
    <t>Albert Rivera y Pablo Casado no quieren escuchar la confesión de un fundador de Vox</t>
  </si>
  <si>
    <t>https://goo.gl/ni3XGd</t>
  </si>
  <si>
    <t>A Coruña, España</t>
  </si>
  <si>
    <t>Activista social, me gusta el comercio,</t>
  </si>
  <si>
    <t>La actualidad #política que estabas buscando. ¡Bienvenido a #ElPlural! También estamos en Facebook: https://es-es.facebook.com/elpluralcom/</t>
  </si>
  <si>
    <t>http://www.elplural.com</t>
  </si>
  <si>
    <t>👉 La amenaza del nacionalismo y populismo es una oportunidad para que volvamos a poner por delante el proyecto común. 📽 Así lo explicó @Albert_Rivera durante al acto de Cs #40añosDeConstitución celebrado en el Liceu de Barcelona</t>
  </si>
  <si>
    <t>pic.twitter.com/unRiKIbynu</t>
  </si>
  <si>
    <t>Afectados AIDA</t>
  </si>
  <si>
    <t>Pedimos una Auditoría de @IDEAJunta e #Invercaria Con cierre de ambas o al menos cese de todos los directores provinciales y nombramiento de gente competente. Medida urgente para arrancar el desarrollo real de la comunidad @Santi_ABASCAL @pablocasado_ @Albert_Rivera</t>
  </si>
  <si>
    <t>wizfun</t>
  </si>
  <si>
    <t>Lo nunca contado de la ‘íntima’ amistad entre Albert Rivera y Santiago Abascal  vía @flipboard</t>
  </si>
  <si>
    <t>http://flip.it/PsDNyp</t>
  </si>
  <si>
    <t>Bon vivant de la escuela balsámica.Sin colorantes ni conservantes.Sin azúcares añadidos.Simple y ligero https://flipboard.com/@wizfun/el-punto-link-0vl4n0l4y</t>
  </si>
  <si>
    <t>http://paper.li/wizfun/1315752719#</t>
  </si>
  <si>
    <t>Plataforma de Afectados por las Ayudas de #Innovación y #Desarrollo de Andalucía para #Autónomos y #Empresas Luchamos contra la corrupción y por el progreso</t>
  </si>
  <si>
    <t>https://mailchi.mp/e831ff79b9e8/plataformaaida</t>
  </si>
  <si>
    <t>.@Albert_Rivera @pablocasado_ @Santi_ABASCAL hay q acelerar el desalojo de @AndaluciaJunta para q no destruyan más pruebas ni metan más enchufados.Todo nuestro apoyo para deshacer lo q va mal y proponer las mejoras q necesitamos para que Andalucía lidere el progreso y desarrollo</t>
  </si>
  <si>
    <t>Tomás González</t>
  </si>
  <si>
    <t>Se conocen y se entienden, viene de lejos. 👉  👉</t>
  </si>
  <si>
    <t>https://youtu.be/PrkRZ8X0dbg
https://www.elplural.com/politica/lo-nunca-contado-de-la-intima-amistad-entre-albert-rivera-y-santiago-abascal_207666102_amp?__twitter_impression=true</t>
  </si>
  <si>
    <t>https://pbs.twimg.com/media/Dt39gb_XQAA0Eoj.jpg</t>
  </si>
  <si>
    <t>Miguel Pérez López</t>
  </si>
  <si>
    <t>RD 216/2014: La energía que se pierde por el camino (y que nos cobran) técnica y por robos sube en verdad la luz @UEmadrid @CasaReal @Pablo_Iglesias_ @pablocasado_ @Albert_Rivera  vía @wordpressdotcom</t>
  </si>
  <si>
    <t>Europa</t>
  </si>
  <si>
    <t>Los nacionalismos europeos secesionistas y excluyentes se acaban con una UE soberana.</t>
  </si>
  <si>
    <t>http://tomassocio.blogspot.com.es/</t>
  </si>
  <si>
    <t>https://efinetika.wordpress.com/2014/07/25/rd-2162014-la-energia-que-se-pierde-por-el-camino-y-que-nos-cobran-sube/</t>
  </si>
  <si>
    <t>Ceres</t>
  </si>
  <si>
    <t>ingeniero Tecnico Diseño Industrial,collecting information Divulgador o recolector de Noticias,tendencias tecnologicas, marketing y productos</t>
  </si>
  <si>
    <t>Cabreados 24h : @pablocasado_: 877 @Albert_Rivera: 1328 @Pablo_Iglesias_: 5199 @Santi_ABASCAL: 6955 @sanchezcastejon: 8488</t>
  </si>
  <si>
    <t>Diario16</t>
  </si>
  <si>
    <t>#Política | La mala leche de Rivera con el sanchismo Por Santiago Aparicio</t>
  </si>
  <si>
    <t>https://pbs.twimg.com/media/Dt1RblAX4AEhySz.png</t>
  </si>
  <si>
    <t>Diario 16 Digital. Análisis, opinión, actualidad y más. Facebook: https://www.facebook.com/Diario16/ Telegram: https://t.me/Diario16Info</t>
  </si>
  <si>
    <t>http://www.diario16.com</t>
  </si>
  <si>
    <t>ALBERT RIVERA y sus antecedentes FALANGISTAS 🌍 ACCIÓN CRUCIAL, 🗣️ EL PROBLEMA Y LA SOLUCIÓN,</t>
  </si>
  <si>
    <t>https://goo.gl/b3cNwy?rwf61=8419215454</t>
  </si>
  <si>
    <t>Raúl Gallart Pérez</t>
  </si>
  <si>
    <t>El PP pidió a este órgano que analizara si el partido de @Albert_Rivera había cumplido con sus obligaciones tributarias. El Tribunal de Cuentas da la razón a @CiudadanosCs: "No existe infracción alguna sancionable".</t>
  </si>
  <si>
    <t>https://www.elespanol.com/espana/politica/20181207/tribunal-cuentas-cs-no-infraccion-alguna-sancionable/358964793_0.html</t>
  </si>
  <si>
    <t>https://pbs.twimg.com/media/Dt1PcjFWsAE6Oqa.jpg</t>
  </si>
  <si>
    <t>Alzira, España</t>
  </si>
  <si>
    <t>Lo que más trabajo cuesta, más dulce se muestra. Vivo y me desvivo por mis seres queridos. @CiudadanosCs</t>
  </si>
  <si>
    <t>https://www.youtube.com/channel/UC03ra7_FNqzCzVs43anV2Mg</t>
  </si>
  <si>
    <t>Antes de empezar me interesa implicar en esta reflexión al @PoderJudicialEs, @fiscal_es, @tsj_cat @interiorgob @policia @guardiacivil @Albert_Rivera @pablocasado_ @Santi_ABASCAL @Congreso_Es @Senadoesp Empezamos:</t>
  </si>
  <si>
    <t>⛪Toni</t>
  </si>
  <si>
    <t>http://www.citizengo.org/hazteoir/pc/167099-al-psoe-ni-agua-sr-rivera?tc=tw&amp;tcid=52572705</t>
  </si>
  <si>
    <t>Me parió mi madre, mi padre me aguantó, hice como que estudiaba, me fui a la mili, me casé, tengo 8 hijos-as, 3 nietos y se me ha caído el pelo de aguantarlos</t>
  </si>
  <si>
    <t>Contacto Hoy</t>
  </si>
  <si>
    <t>El político español Albert Rivera califica a Betancur de “gran estadista”</t>
  </si>
  <si>
    <t>https://contactohoy.com.mx/el-politico-espanol-albert-rivera-califica-a-betancur-de-gran-estadista/</t>
  </si>
  <si>
    <t>💫 Ismael Escuín 💫</t>
  </si>
  <si>
    <t>1.- El Tribunal de Cuentas FALLA a FAVOR de @CiudadanosCs y lo ABSUELVE de la acusación del Partido Popular de tener anomalías en su contabilidad. 👉 Da la razón al partido liderado por @Albert_Rivera ⚖️ Abro hilo 👇🏻</t>
  </si>
  <si>
    <t>Durango Mex.</t>
  </si>
  <si>
    <t>Empresa editorial duranguense dedicada a llevar a sus lectores la mejor información veraz y oportuna de Durango, México, y el mundo, justo al momento.</t>
  </si>
  <si>
    <t>http://www.contactohoy.com.mx</t>
  </si>
  <si>
    <t>Mª José Valiente</t>
  </si>
  <si>
    <t>A ver si esto le ayuda a decidir a Albert Rivera 🤔</t>
  </si>
  <si>
    <t>https://pbs.twimg.com/media/Dt1M1FFWoAEPGgb.jpg</t>
  </si>
  <si>
    <t>https://www.facebook.com/majose.valiente/posts/1949903595062744</t>
  </si>
  <si>
    <t>España, Europa, Mundo 🇪🇸🇪🇺</t>
  </si>
  <si>
    <t>Soy una mente inquieta con un espíritu crítico. Pretendo incentivar el criterio propio en todo el mundo. Lucho por tus derechos. ! POR LA LIBERTAD !</t>
  </si>
  <si>
    <t>Sólo el cambio perdura. Todo fluye, nada permanece. Heráclito. RNA Cs. 📲 Redes | 👉 Marketing</t>
  </si>
  <si>
    <t>http://facebook.com/majose.valiente</t>
  </si>
  <si>
    <t>https://youtu.be/C4hpa5dCKAo</t>
  </si>
  <si>
    <t>۞ Estrella Tartéssica ۞</t>
  </si>
  <si>
    <t>Ey, @Albert_Rivera @InesArrimadas @pablocasado_ @rosadiezglez, mirad qué hacen vuestros socios, ¿no decís nada? 《Agreden a un joven al grito de “¡Esto es España!” por llevar una camiseta nacionalista》.</t>
  </si>
  <si>
    <t>https://www.galiciapress.es/texto-diario/mostrar/1274100/agreden-joven-grito-espana-llevar-camiseta-nacionalista</t>
  </si>
  <si>
    <t>Si no eres antifascista eres fascista, y si eres fascista eres terrorista.</t>
  </si>
  <si>
    <t>Cero absoluto en ciencia política para Vidal Quadras y Albert Rivera 🔗 ESTAR EN CAMPAÑA, 🔉 VenezuelaLibre,</t>
  </si>
  <si>
    <t>https://goo.gl/Z6Q5bm?acj69=4964405663</t>
  </si>
  <si>
    <t>ABOGADOCIBER Ecosistemas Tecnológicos Seguros</t>
  </si>
  <si>
    <t>Que todo el mundo recuerde este día pues pasará a la historia como el mayor atentado a la intimidad en la Democracia. Gracias a @sanchezcastejon @pablocasado_ @Albert_Rivera y resto de líderes que votaron a favor. Cuando llegue la Sentencia del Tribunal de las UE acordemonos. RT @mccamposacunha: Habemus nueva #LOPD y de Garantía de #DerechosDigitales</t>
  </si>
  <si>
    <t>https://twitter.com/mccamposacunha/status/1070583214916427776
https://www.boe.es/boe/dias/2018/12/06/pdfs/BOE-A-2018-16673.pdf</t>
  </si>
  <si>
    <t>https://pbs.twimg.com/media/Dtt5wMGWwAY_YzU.jpg</t>
  </si>
  <si>
    <t>Salamanca, España</t>
  </si>
  <si>
    <t>Preparado para aportar la Seguridad y Prevención que tu ecosistema tecnológico necesita</t>
  </si>
  <si>
    <t>http://www.juliodelatorre.es</t>
  </si>
  <si>
    <t>entierradigna🔻</t>
  </si>
  <si>
    <t>Al Albert Rivera francés se le está complicando la cosa.</t>
  </si>
  <si>
    <t>charo</t>
  </si>
  <si>
    <t>Antifascista.</t>
  </si>
  <si>
    <t>http://www.citizengo.org/hazteoir/pc/167099-al-psoe-ni-agua-sr-rivera?tc=tw&amp;tcid=52572143</t>
  </si>
  <si>
    <t>Sevilla, España</t>
  </si>
  <si>
    <t>casada con cuatro hijos y feliz</t>
  </si>
  <si>
    <t>AVP</t>
  </si>
  <si>
    <t>Com diu Albert Rivera, company teu de manifestacions: "Las dictaduras no tienen libertad, pero tienen cierta paz y orden" RT @miqueliceta: .@socialistes_cat expressem el nostre suport a @mossos d’esquadra en la seva tasca de garantir la seguretat i la tranquil.litat ciutadanes. Posar en dubte la seva professionalitat sense cap prova ni investigació és especialment irresponsable i més quan ho fa el propi @govern</t>
  </si>
  <si>
    <t>https://twitter.com/miqueliceta/status/1070980992964411392</t>
  </si>
  <si>
    <t>BCN - CAT</t>
  </si>
  <si>
    <t>Europa sigue empezando en los Pirineos.</t>
  </si>
  <si>
    <t>Jeronimo</t>
  </si>
  <si>
    <t>#TuAbandoboMePuedeMatar #sosprisiones #TuAbandonoPrisiones @interiorgob @prisionesSOS @abandonosoto @EjeDigital @okdiario @Pablo_Iglesias_ @Alfonso_Egea @Albert_Rivera @DefensorPuebloE @eslamananadeFJL @COPE @sextaNoticias @La_SER @jordievole @carlos__alsina nos escucharan</t>
  </si>
  <si>
    <t>https://pbs.twimg.com/media/Dt0--aUXcAEonlF.jpg</t>
  </si>
  <si>
    <t>españa</t>
  </si>
  <si>
    <t>Darth Asto</t>
  </si>
  <si>
    <t>Joder al ver la miniatura de @LVPibai he pensado que era Albert Rivera. RT @LVPibai: Alex ha perdido pero ha matado a Faker. España ha ganado.</t>
  </si>
  <si>
    <t>https://twitter.com/LVPibai/status/1071198142723432449</t>
  </si>
  <si>
    <t>Esta es la receta que ayuda a luchar contra la corrupción dentro de las empresas y gobiernos, según 2 ejecutivas españolas encargadas de ello @UEmadrid @CasaReal @sanchezcastejon @Pablo_Iglesias_ @pablocasado_ @Albert_Rivera  vía @BIEspana</t>
  </si>
  <si>
    <t>https://www.businessinsider.es/esta-es-receta-que-ayuda-luchar-corrupcion-dentro-empresas-segun-dos-ejecutivas-espanolas-334381?utm_source=Twitter&amp;utm_medium=referral&amp;utm_campaign=Botones_sociales</t>
  </si>
  <si>
    <t>María Pilar Fernández Perez</t>
  </si>
  <si>
    <t>Albert Rivera tiene un plan para pactar con Vox sin enfadar a sus socios europeos  Enviado desde @updayESP</t>
  </si>
  <si>
    <t>https://www.elconfidencialdigital.com/articulo/politica/albert-rivera-tiene-plan-pactar-vox-enfadar-socios-europeos/20181207212045119111.amp.html</t>
  </si>
  <si>
    <t>No me gustan las injusticias Anti pp anti c's a ti franquista</t>
  </si>
  <si>
    <t>El Puyazo</t>
  </si>
  <si>
    <t>Los de la carta, están hoy con PSOE, Podemos y golpistas en el Gobierno de España. Pero el fascista peligroso es Vox-Abascal. @Santi_ABASCAL @vox_es @pablocasado_ @CiudadanosCs @Albert_Rivera</t>
  </si>
  <si>
    <t>https://pbs.twimg.com/media/Dt07aI0XgAAzlIn.jpg</t>
  </si>
  <si>
    <t>Viva la democracia y viva la libertad 🇪🇸</t>
  </si>
  <si>
    <t>Ismael González</t>
  </si>
  <si>
    <t>La clase media a la que cita Albert Rivera. RT @elmundoes: Un padre podrá donar 250.000 € a su hijo sin tributar</t>
  </si>
  <si>
    <t>https://twitter.com/elmundoes/status/1070736914943279104
https://trib.al/vFPW5Bb</t>
  </si>
  <si>
    <t>Carlos Hinojosa</t>
  </si>
  <si>
    <t>Oye @Albert_Rivera, ¿vais a pactar entonces con los amigos de quienes quieren destruir Europa según vosotros?</t>
  </si>
  <si>
    <t>No hay comportamiento más perverso para la democracia que la corrupción del lenguaje y la falsificación de las palabras con las que nos comunicamos.</t>
  </si>
  <si>
    <t>https://pbs.twimg.com/media/Dt06s4tX4AA4u9s.jpg</t>
  </si>
  <si>
    <t>Experto en ... muchas cosas</t>
  </si>
  <si>
    <t>⛧Φορνευσ⛧</t>
  </si>
  <si>
    <t>Y esto es Macron. El modelo a seguir francés de @Albert_Rivera y su partido de fascistas @CiudadanosCs RT @RRYrevolucion: Francia: Joven estudiante, en actitud pacífica, herido de gravedad por la policía en #SaintJeanDeBraye. Su primo informa en directo de la agresión policial. Mientras los estudiantes (muy jóvenes) prestaban auxilio a la víctima, la policía les ha gaseado.</t>
  </si>
  <si>
    <t>https://twitter.com/RRYrevolucion/status/1071043004310401024</t>
  </si>
  <si>
    <t>pic.twitter.com/iqU4J5sHIE</t>
  </si>
  <si>
    <t>Ayamonte, España</t>
  </si>
  <si>
    <t>What will be left of me when I'm dead? There was nothing when I lived, What you found was eternal death, No one will ever miss you. 💀</t>
  </si>
  <si>
    <t>https://www.instagram.com/david_seb115/</t>
  </si>
  <si>
    <t>Vespertina</t>
  </si>
  <si>
    <t>Meteko</t>
  </si>
  <si>
    <t>Creo que el nacionalismo etnocultural de VOX os da una magnífica oportunidad para diferenciarlo del patriotismo Constitucional de la ciudadanía @CiudadanosCs No la desaprovechéis, muchos os dejaríamos de apoyar. @Albert_Rivera @InesArrimadas @GirautaOficial @carrizosacarlos</t>
  </si>
  <si>
    <t>Nunca dudes de que un grupo de ciudadanos, conscientes y comprometidos, pueden cambiar el mundo, de hecho, siempre ha sido así</t>
  </si>
  <si>
    <t>CataluÑYa</t>
  </si>
  <si>
    <t>Frente al independentismo o hay RELATO o habrá independència!! Izquierda no-nacionalista · Identidad Charnega ·</t>
  </si>
  <si>
    <t>http://meteko.blogspot.com/</t>
  </si>
  <si>
    <t>El mayor gigante privado de Vietnam acaba de comprar la española BQ como pieza clave para crear un Silicon Valley en Hanoi retirando inversiones en nuestro país y Europa? @UEmadrid @CasaReal @sanchezcastejon @pablocasado_ @Albert_Rivera  vía @BIEspana</t>
  </si>
  <si>
    <t>https://www.businessinsider.es/mayor-gigante-privado-vietnam-acaba-comprar-bq-como-pieza-clave-crear-su-propio-silicon-valley-hanoi-339875?utm_source=Twitter&amp;utm_medium=referral&amp;utm_campaign=Botones_sociales</t>
  </si>
  <si>
    <t>Narx</t>
  </si>
  <si>
    <t>HE GANAOOPOOOOOOOO @_Talahase @Sul_97xD VIVA ALBERT RIVERA JODEREEERRRRR</t>
  </si>
  <si>
    <t>https://pbs.twimg.com/media/Dt2bTLqX4AEq7zZ.jpg</t>
  </si>
  <si>
    <t>TamaraLempicka4</t>
  </si>
  <si>
    <t>‼️Para CHULO YO‼️.Fdo. @Albert_Rivera🙄🙄</t>
  </si>
  <si>
    <t>Catalunya, Junkertown</t>
  </si>
  <si>
    <t>Programo y spameo tanques en plata. Intentando salir de las cloacas del elo hell. Redes: http://tl.gd/n_1sqnp9s | Mi Twitch ⤵️</t>
  </si>
  <si>
    <t>https://www.twitch.tv/narx221x</t>
  </si>
  <si>
    <t>https://www.elnacional.cat/es/politica/insolita-actitud-desafiante-rivera-manifestantes_332043_102.html</t>
  </si>
  <si>
    <t>Carlos Javier Alonso</t>
  </si>
  <si>
    <t>http://www.citizengo.org/hazteoir/pc/167099-al-psoe-ni-agua-sr-rivera?tc=tw&amp;tcid=52571213</t>
  </si>
  <si>
    <t>Moncloa lleva de la mano a Telefónica a China para cerrar una alianza con Huawei que tal vez peligre por la interferencia de USA? @UEmadrid @CasaReal @sanchezcastejon @Pablo_Iglesias_ @pablocasado_ @Albert_Rivera</t>
  </si>
  <si>
    <t>Descanse en paz el expresidente Belisario Betancur, un gran estadista e intelectual al que tuve el honor de conocer este año en Bogotá. Mi pésame para su familia y para todo el pueblo colombiano. RT @elespanolcom: Muere Belisario Betancur, expresidente de Colombia en los 80, a los 95 años</t>
  </si>
  <si>
    <t>http://shr.gs/EiqgdvQ</t>
  </si>
  <si>
    <t>https://twitter.com/elespanolcom/status/1071162438035349504
https://www.elespanol.com/mundo/20181207/muere-belisario-betancur-expresidente-colombia-anos/358965186_0.html</t>
  </si>
  <si>
    <t>La ministra Delgado presiona a Google y Facebook para controlar la difusión de 'fake news' en España y con la otra mano mantienen la tasa? @UEmadrid @CasaReal @sanchezcastejon @Pablo_Iglesias_ @pablocasado_ @Albert_Rivera</t>
  </si>
  <si>
    <t>http://shr.gs/SRuADHm</t>
  </si>
  <si>
    <t>La 'generación desanimada': los jóvenes españoles sin ganas de buscar empleo se disparan pq no hay trabajos acordes a sus estudios en España @UEmadrid @CasaReal @sanchezcastejon @Pablo_Iglesias_ @pablocasado_ @Albert_Rivera</t>
  </si>
  <si>
    <t>http://shr.gs/UKQASjW</t>
  </si>
  <si>
    <t>vikingo</t>
  </si>
  <si>
    <t>💥REPASO BRUTAL💥Albert RIVERA HUNDE a Pedro SÁNCHEZ al pedirle que PUBLIQ...  vía @YouTube</t>
  </si>
  <si>
    <t>https://youtu.be/cQNTYvOF1x4</t>
  </si>
  <si>
    <t>El "apocalipsis" de los centros comerciales: por qué Ikea o Media Markt se están mudando al centro y Europa paraliza complejos @UEmadrid @CasaReal @sanchezcastejon @Pablo_Iglesias_ @pablocasado_ @Albert_Rivera</t>
  </si>
  <si>
    <t>http://page.is/larevuelo53</t>
  </si>
  <si>
    <t>http://a.msn.com/00/es-es/BBQD9VP?ocid=st</t>
  </si>
  <si>
    <t>Adera</t>
  </si>
  <si>
    <t>http://www.citizengo.org/hazteoir/pc/167099-al-psoe-ni-agua-sr-rivera?tc=tw&amp;tcid=52570897</t>
  </si>
  <si>
    <t>ESPAÑOL ORGULLOSO</t>
  </si>
  <si>
    <t>http://www.citizengo.org/hazteoir/pc/167099-al-psoe-ni-agua-sr-rivera?tc=tw&amp;tcid=52570882</t>
  </si>
  <si>
    <t>navalcan (toledo) ESPAÑA</t>
  </si>
  <si>
    <t>ESPAÑOL DE NACIMIENTO Y SENTIMIENTO BÉTICO, MADRIDISTA HASTA MORIR Y CATÓLICO</t>
  </si>
  <si>
    <t>UtopíApp</t>
  </si>
  <si>
    <t>Nunca hay que tener miedo a estar informados. Lo nunca contado de la ‘íntima’ amistad entre Albert Rivera y Santiago Abascal</t>
  </si>
  <si>
    <t>Víctor González 💚✊</t>
  </si>
  <si>
    <t>Madreeee! Otro ataque independentista a una sede de Ciudada... 🤔🤔🤔 Upssss NO NO que es en la sede de @iuantequera Cómo se nota que pasaron @InesArrimadas y @Albert_Rivera por Andalucía ehhh! #FelizFinde</t>
  </si>
  <si>
    <t>Partido político GLOBAL. Sin líderes, sin trampa ni bandera. Aspiramos a llegar al poder para demostrarlo. Estamos muy locos avisamos. EN CONSTRUCCIÓN AVANZADA.</t>
  </si>
  <si>
    <t>http://www.utopiapp.com/blog/</t>
  </si>
  <si>
    <t>https://pbs.twimg.com/media/Dt0xA4lXgAAlEfl.jpg</t>
  </si>
  <si>
    <t>Mercedes Mosquera</t>
  </si>
  <si>
    <t>"El problema de Rufián es que tiene complejo de charnego. Sobreactúa para que le perdonen el no tener ocho apellidos catalanes" "España es el país con más políticos idiotas por metro cuadrado". Carga contra todos, excepto Albert Rivera y Pablo Casado.</t>
  </si>
  <si>
    <t>https://www.huffingtonpost.es/2018/12/07/el-dardo-de-bertin-osborne-a-gabriel-rufian-y-pablo-iglesias-espana-es-el-pais-con-mas-politicos-idiotas-por-metro-cuadrado_a_23611885/?ncid=other_twitter_cooo9wqtham&amp;utm_campaign=share_twitter</t>
  </si>
  <si>
    <t>Gavà - Cornellà - Bcn</t>
  </si>
  <si>
    <t>Activista de la PAH de Cornellà ... ¿De izquierdas? Of course! ... No siempre podré ser políticamente correcto!</t>
  </si>
  <si>
    <t>A Coruña, Galicia, España</t>
  </si>
  <si>
    <t>Especialista Universitaria en Protocolo, Comunicación e Imagen Corporativa. Una asturiana ESFP [Extrovertida, Sensorial, Emocional (Feeling), Perceptiva]</t>
  </si>
  <si>
    <t>https://m.facebook.com/?_rdr#!/mercedes.mosquerabango.7?ref=bookmark</t>
  </si>
  <si>
    <t>antonio fortes ortiz</t>
  </si>
  <si>
    <t>A este no le criticamos, tenemos asumido que trabaja para las empresas y se lo merece.</t>
  </si>
  <si>
    <t>https://loquenotequierencontar.com/2017/12/06/albert-rivera-se-compra-un-chalet-valorado-en-mas-de-1-millon-de-euros-al-tiempo-que-ciudadanos-bloquea-una-subida-del-salario-minimo-a-800e/</t>
  </si>
  <si>
    <t>Ché Qué Vara</t>
  </si>
  <si>
    <t>Seguro que, tras meses de vomitar odio con el tema, @gabrielrufian pedirá disculpas a @Albert_Rivera</t>
  </si>
  <si>
    <t>vive en Mijas</t>
  </si>
  <si>
    <t>https://www.elmundo.es/espana/2018/12/07/5c0a86be21efa0d45b8b45c9.html</t>
  </si>
  <si>
    <t>Camarada-Comandante. Rojo maranello. Mi reservado en la Bodeguita del Medio. Revolussiooonnario y del Habana Fúlbol Clú. Crítica. Parodia</t>
  </si>
  <si>
    <t>O.M.Robles</t>
  </si>
  <si>
    <t>No se porque, pero me huele que España se empieza a dar cuenta que el único partido politico que merece la pena votar es @CiudadanosCs y al frente su presidente @Albert_Rivera Lo que me alegraría enormemente a mi y creo que a unos cuantos de miles de ciudadanos. 🤔🤔🤔🤔🤔🤔🤔</t>
  </si>
  <si>
    <t>Jose</t>
  </si>
  <si>
    <t>Vaya pareja, interesante artículo.</t>
  </si>
  <si>
    <t>Este franquismo se me está haciendo eterno.</t>
  </si>
  <si>
    <t>Don Mitxel Erregea</t>
  </si>
  <si>
    <t>Estado islámico? pues no, estado bajo dominio del socio e Albert Rivera RT @izquierdadiario: Escándalo en Francia por brutal detención de estudiantes secundarios. #MacronDemission #lyceensencolere</t>
  </si>
  <si>
    <t>https://twitter.com/izquierdadiario/status/1071141864647081989
http://bit.ly/2L9OP5f</t>
  </si>
  <si>
    <t>pic.twitter.com/oHvdgSLBwF</t>
  </si>
  <si>
    <t>Paco Jiménez</t>
  </si>
  <si>
    <t>Para qué quieren a #Andalucía @PPopular y @CiudadanosCs? Desde la noche del #2D no han escuchado ni a Marín ni a Juanma Moreno. Vamos, ni nos acordamos ya de sus timbres de voz. Andaluz, es esta la tierra que quieres? @Albert_Rivera y @pablocasado_ hablando y decidiendo por ti?</t>
  </si>
  <si>
    <t>siempre en el caserío</t>
  </si>
  <si>
    <t>Ya os vale...</t>
  </si>
  <si>
    <t>PACH/MEX. Entre libros y legaj</t>
  </si>
  <si>
    <t>Inmigrant. PhD. in History. New Spain Viceroyalty. Bollullos,Sevilla &amp; México, Trinity of soul -Opinions - What I RT is not necessarily my opinion #SFC - #PUMAS</t>
  </si>
  <si>
    <t>https://uaeh.academia.edu/PacoJim%C3%A9nez</t>
  </si>
  <si>
    <t>Juan Vergara</t>
  </si>
  <si>
    <t>La prueba irrefutable de lo peligroso y contagioso que es el nacionalismo es que Santiago Abascal es vasco y Albert Rivera catalán</t>
  </si>
  <si>
    <t>EcoResistencia</t>
  </si>
  <si>
    <t>Julio Anguita hombre de izquierda Español, ante todo pide el apoyo al honesto, al trabajador, olvidándose de sus símbolos @CiudadanosCs @PPopular @Albert_Rivera</t>
  </si>
  <si>
    <t>pic.twitter.com/pb5RMR4v0r</t>
  </si>
  <si>
    <t>ENRIQUE SANCHEZ</t>
  </si>
  <si>
    <t>2015.Las propuestas del partido de Albert Rivera Ciudadanos propone eliminar el Senado y las Diputaciones</t>
  </si>
  <si>
    <t>https://cincodias.elpais.com/cincodias/2015/11/07/economia/1446899142_765149.html</t>
  </si>
  <si>
    <t>https://pbs.twimg.com/media/Dt17XjwXQAIw5y-.jpg</t>
  </si>
  <si>
    <t>#LaMejorVzla</t>
  </si>
  <si>
    <t>Movimiento Ecológico Popular : Alternativa Ecologista Social. Justicia y Equidad. Luchando para instaurar el Derecho a Participar y Decidir del Ciudadano.</t>
  </si>
  <si>
    <t>MADRID-ESPAÑA</t>
  </si>
  <si>
    <t>JUSTICIA &amp; ETICA PROFESIONAL</t>
  </si>
  <si>
    <t>http://enrique2311.wordpress.com</t>
  </si>
  <si>
    <t>#LoMásLeído Desde el momento en que se conocieron hasta el día en que se dijeron adiós: la fraternal historia del líder de Ciudadanos y el de Vox</t>
  </si>
  <si>
    <t>En la época #PostPSOE nosotros, gobierne quien gobierne, proponemos las siguientes medidas para el progreso de Andalucía. La destrucción de la red clientelar tiene que ser PROFUNDA @JuanMarin_Cs @JuanMa_Moreno @Santi_ABASCAL @pablocasado_ @Albert_Rivera</t>
  </si>
  <si>
    <t>pic.twitter.com/xlLbDpoF8M</t>
  </si>
  <si>
    <t>NUNCA RENDIRSE</t>
  </si>
  <si>
    <t>Albert Rivera está perdiendo el pulso de los acontecimientos. Este Sr Valls no tiene arrastre y es un paracaidista en Barcelona. Los catalanes no se identifican con su imagen. Cómo puede dejar de presentar un candidato propio en Barcelona siendo el partido más votado?Cosa veredes RT @carinho9: Lo tengo clarísimo: -al menor intento de pactar con @psoedeandalucia y/o seguir con Valls en Barcelona, perdéis mi voto. #EnCasaSomos3</t>
  </si>
  <si>
    <t>https://twitter.com/carinho9/status/1071091740512305153
https://twitter.com/hermanntertsch/status/1070288364170080256</t>
  </si>
  <si>
    <t>Josep Maria Francàs</t>
  </si>
  <si>
    <t>CIUDADANOS Están tan perdidos como Albert Rivera. Agradeceré LO COMPARTAS y, si te gusta, que TE SUSCRIBAS a mi canal de YouTube:</t>
  </si>
  <si>
    <t>https://www.youtube.com/channel/UCUGcEzxyMJwuOCBNnjwPDxg?view_as=subscriber</t>
  </si>
  <si>
    <t>pic.twitter.com/gYe7gGtHG5</t>
  </si>
  <si>
    <t>Humor catalán, no te molestes. Manresa, (Barcelona). Licenciado en Ciencias Biológicas. Ex político y periodista. http://es.favstar.fm/users/jmfrancas</t>
  </si>
  <si>
    <t>http://www.noentiendonada.es</t>
  </si>
  <si>
    <t>Paco F. Hernández</t>
  </si>
  <si>
    <t>Salvador Rodriguez</t>
  </si>
  <si>
    <t>http://www.citizengo.org/hazteoir/pc/167099-al-psoe-ni-agua-sr-rivera?tc=tw&amp;tcid=52569925</t>
  </si>
  <si>
    <t>Extremadura, España</t>
  </si>
  <si>
    <t>Harto de puchi Matrix</t>
  </si>
  <si>
    <t>El dardo de Bertín Osborne a Gabriel Rufián y Pablo Iglesias: "España es el país con más políticos idiotas por metro cuadrado". El presentador de Telecinco carga contra todos, excepto Albert Rivera y Pablo Casado. #LaSilenciosaCat</t>
  </si>
  <si>
    <t>https://www.huffingtonpost.es/2018/12/07/el-dardo-de-bertin-osborne-a-gabriel-rufian-y-pablo-iglesias-espana-es-el-pais-con-mas-politicos-idiotas-por-metro-cuadrado_a_23611885/</t>
  </si>
  <si>
    <t>Si se critica a Podemos por las noticias que llegan desde Venezuela, ¿por qué no se va a poder criticar a @Albert_Rivera, @InesArrimadas, @begonavillacis o @ferdeparamo por lo que está pasando en la Francia de Macron, a quien tanto aplauden en Ciudadanos? RT @MareasXLaEP: El Gobierno francés investigará el arresto masivo de estudiantes en protestas. Imágenes intolerables en la q se pueden ver casi 150 estudiantes, arrodillados y con las manos en la cabeza o en la espalda. +info @publico_es :  Vídeo:</t>
  </si>
  <si>
    <t>Tabarnia, España</t>
  </si>
  <si>
    <t>Para Göbbels, «una mentira repetida mil veces se convierte en una verdad» Llevan años haciendolo. Paremos la hemoragia economica y salvemos España.</t>
  </si>
  <si>
    <t>https://www.lasilenciosacat.org</t>
  </si>
  <si>
    <t>https://twitter.com/MareasXLaEP/status/1071011229387419648
https://bit.ly/2UrJkTk
https://bit.ly/2PoqVDi</t>
  </si>
  <si>
    <t>https://pbs.twimg.com/media/Dtz-pdNWsAEql4b.jpg</t>
  </si>
  <si>
    <t>MIENTO, LUEGO EXISTO</t>
  </si>
  <si>
    <t>Albert Rivera a un paso de ir a abrazar a los franceses.</t>
  </si>
  <si>
    <t>Working class a mucha honra y titiritwittero.</t>
  </si>
  <si>
    <t>https://pbs.twimg.com/media/Dt0jRbtXQAEuLuA.png</t>
  </si>
  <si>
    <t>Susana Moreno</t>
  </si>
  <si>
    <t>Que esto lo diga un presidente autonómico del PSOE!¿Dónde vamos a llegar? @garciapage no creo que much@s de sus votantes lo compartan.Como ciudadana tengo la impresión de que está usted bastante alejado de lo que se entiende por socialismo.El guiño a @Albert_Rivera, ahora esto... RT @_infoLibre: #Page considera "más peligrosa la xenofobia del independentismo catalán" que la extrema derecha</t>
  </si>
  <si>
    <t>https://twitter.com/_infoLibre/status/1070696918643290112
http://ow.ly/mn2n30mT9fr</t>
  </si>
  <si>
    <t>https://pbs.twimg.com/media/DtvhLEWW0AAtobf.jpg</t>
  </si>
  <si>
    <t>TOLEDO</t>
  </si>
  <si>
    <t>Que paren el mundo...me quiero bajar</t>
  </si>
  <si>
    <t>Pablo Casado y Albert Rivera negocian el pacto: para el PP la Presidencia de la Junta y para Cs la Vicepresidencia</t>
  </si>
  <si>
    <t>https://www.elplural.com/autonomias/andalucia/el-futuro-de-andalucia-se-decide-en-madrid_207700102</t>
  </si>
  <si>
    <t>Así modeló el ser humano el Sáhara: de vergel a desierto y nos enseña la necesidad de recuperar vegetación incluso en tejados @UEmadrid @CasaReal @sanchezcastejon @pablocasado_ @Pablo_Iglesias_ @Albert_Rivera  vía @elespanolcom</t>
  </si>
  <si>
    <t>https://www.elespanol.com/ciencia/ecologia/20170316/201230003_0.html</t>
  </si>
  <si>
    <t>MOAI SOLDIER</t>
  </si>
  <si>
    <t>Oye, @sanchezcastejon @Pablo_Iglesias_ @pablocasado_ @Albert_Rivera @Santi_ABASCAL , cuando terminéis este teatrillo podríais hacernos el favor de solucionar nuestros problemas ?, De nada, es q a veces se os olvida para q os pagamos.</t>
  </si>
  <si>
    <t>Xabi</t>
  </si>
  <si>
    <t>Albert Rivera está nominado al Grammy?</t>
  </si>
  <si>
    <t>Lugo y Madrid, España</t>
  </si>
  <si>
    <t>A veces gallego, a veces no. Cosas.</t>
  </si>
  <si>
    <t>Music Producer</t>
  </si>
  <si>
    <t>#sosprisiones #TuabandonoMePuedeMatar #funcionariosdeprisiones @interiorgob @Pablo_Iglesias_ @pablocasado_ @DefensorPuebloE @Albert_Rivera @COPE y que nos dejen trabajar y dejen de ponernos en el punto de mira y confíen en un colectivo que es superprofesional RT @JavierCenit: Sra @susannagriso preguntaba al compañero agredido en @EspejoPublico que qué necesitamos para trabajar con dignidad Uniforme adecuado Medios coercitivos Más funcionarios por módulos Formación Concursos anuales Dignidad salarial y laboral Agentes autoridad Etc @SOS_Prisiones_</t>
  </si>
  <si>
    <t>https://twitter.com/JavierCenit/status/1067373399809376257</t>
  </si>
  <si>
    <t>Isabel Lopez</t>
  </si>
  <si>
    <t>El ídolo de Albert Rivera. Montruos! RT @Dr_KenSmith: @_ju1_ Sangran al pueblo a impuestos para que el Sr. Macron se gaste decenas de miles de euros de dinero público en maquillaje. Nada me da más asco, que el despilfarro público para la indulgencia de los políticos.</t>
  </si>
  <si>
    <t>https://twitter.com/Dr_KenSmith/status/1070829523548151809
https://www.theguardian.com/world/2017/aug/25/emmanuel-macron-under-fire-26000-euros-makeup-bill</t>
  </si>
  <si>
    <t>jardinera, comunista; pienso, escribo, actúo. la situación es insostenible, tanto que solo se asienta sobre nuestra indecisión y el miedo a tomar a las riendas</t>
  </si>
  <si>
    <t>Alo123probando</t>
  </si>
  <si>
    <t>Aquí la francia 🇫🇷 liberal que tanto anhela @Albert_Rivera y @CiudadanosCs .... q asco RT @_ju1_: Si este video donde cientos de menores de edad son humillados y vejados por miembros de la policia fuera de Cuba, estaría dando la vuelta al mundo y abriría los telediarios. Pero no, es la Francia macronista.</t>
  </si>
  <si>
    <t>Por qué se oculta en España lo que está ocurriendo en Francia con un gobierno neoliberal y autoritario que es el modelo de Albert Rivera? Esto es lo que C,s quiere para España? RT @Juanmi_News: Detenidos más de 700 estudiantes de secundaria en Francia este jueves, en la cuarta jornada consecutiva de protestas por 1 reforma educativa que introduce cambios en el acceso a la Universidad y en las tasas. #lyceens #interpelles #France #gilets #jaunes</t>
  </si>
  <si>
    <t>https://twitter.com/_ju1_/status/1070822535686696965</t>
  </si>
  <si>
    <t>https://twitter.com/Juanmi_News/status/1070817658063466496
https://www.elespectador.com/noticias/el-mundo/policia-francesa-detiene-mas-de-700-estudiantes-en-medio-de-protestas-articulo-827714</t>
  </si>
  <si>
    <t>https://pbs.twimg.com/media/DtxO6mCWoAI4WaR.jpg</t>
  </si>
  <si>
    <t>pic.twitter.com/hSU9RqIroU</t>
  </si>
  <si>
    <t>Txema</t>
  </si>
  <si>
    <t>Madrid-España</t>
  </si>
  <si>
    <t>El futuro de Andalucía se decide en Madrid. Pablo Casado y Albert Rivera negocian el pacto: para el PP la Presidencia de la Junta y para Cs la Vicepresidencia, además de la Presidencia del Parlamento. "Menos mal que eran elecciones en y de Andalucía"</t>
  </si>
  <si>
    <t>Médico de Madrid</t>
  </si>
  <si>
    <t>S.Infraest. Movilidad #Resistance Amigo d Amigos #Sociata #Humanist #CitoyenduMonde, Docente #PaperliActivist #Rebels #Red Cleaned #Irreverent No DM Earth</t>
  </si>
  <si>
    <t>Joseph Fouché</t>
  </si>
  <si>
    <t>Like si crees que tendría que trasplantarse peluza del sobaco como su caudillo @Albert_Rivera. Puede que así dejara de decir sandeces #Cañas #Alopecia #Ciudagramos RT @jordi_canyas: Haz RT si crees que debería sumarse a la dieta del prusés que hacen sus compañeros carceleros del @govern .</t>
  </si>
  <si>
    <t>https://twitter.com/jordi_canyas/status/1071034360919408640</t>
  </si>
  <si>
    <t>El Látigo</t>
  </si>
  <si>
    <t>Así es como se las gasta el Gobierno de Macron, que tanto le gusta a Albert Rivera.</t>
  </si>
  <si>
    <t>https://pbs.twimg.com/media/Dt0M4JAWkAMn1f7.jpg</t>
  </si>
  <si>
    <t>pic.twitter.com/IIbI0PDLPr</t>
  </si>
  <si>
    <t>Entro en Twitter para fustigar las injusticias. Trabajo, voy a tener.</t>
  </si>
  <si>
    <t>Les Girondins tombent; les Jacobins sont traqués; le Directoire, le Consulat, l'Empire, la Royauté et encore l'Empire disparaissent; mais Fouché reste toujours.</t>
  </si>
  <si>
    <t>arsfilosofo</t>
  </si>
  <si>
    <t>http://www.citizengo.org/hazteoir/pc/167099-al-psoe-ni-agua-sr-rivera?tc=tw&amp;tcid=52569119</t>
  </si>
  <si>
    <t>ARSFILOSOFO SIGNIFICA EL ARTE DE LA CRITICA FILOSOFICA MATERIALISTA</t>
  </si>
  <si>
    <t>http://arsfilosofo.org</t>
  </si>
  <si>
    <t>BANCAJA ahora BANKIA - ESTAFA!!!</t>
  </si>
  <si>
    <t>Si @vox_es recibe 1.000 afiliados diarios desde el 2de diciembre, será q la gente está diciendo claro lo q quiere y q los demás partidos hacen oídos sordos. @PPopular @PSOE @UPYD @CiudadanosCs @ahorapodemos @JuanMa_Moreno @JuanMarin_Cs @FSerranoCastro @pablocasado_ @Albert_Rivera RT @elpais_espana: Vox recibe 1.000 afiliaciones diarias desde el 2 de diciembre  Lo cuenta @javiercasqueiro</t>
  </si>
  <si>
    <t>jose</t>
  </si>
  <si>
    <t>https://twitter.com/elpais_espana/status/1070400883169599489
http://ow.ly/TFBr30mSzsG</t>
  </si>
  <si>
    <t>foios,valencia,españa</t>
  </si>
  <si>
    <t>Defensor de los derechos humanos.Contrario a austeridad,FMI,BM.Por un mundo verde que garantize la vida para las siguientes generaciones,hijos nietos etc.</t>
  </si>
  <si>
    <t>Málaga, Andalucia, todaESPAÑA</t>
  </si>
  <si>
    <t>Seguros de vida en HIPOTECAS la Gran ESTAFA!. Discapacidad INVISIBLE! La Asignatura PENDIENTE de la Justicia. Enfermo de #Crohn LUCHANDO por nuestros Derechos!!</t>
  </si>
  <si>
    <t>HazteOir.org</t>
  </si>
  <si>
    <t>Pide al líder de @CiudadanosCs, @Albert_Rivera, que no permita que los #corruptos del @PSOE sigan gobernando #Andalucía. Dile que se una a @PPopular y a @Vox_es para echarlos de una vez, FIRMA:</t>
  </si>
  <si>
    <t>Jorge Sánchez </t>
  </si>
  <si>
    <t>Antes cuando apagaba la tele seguía sonando Albert Rivera... ahora suena Rosalía Vila Tobella.</t>
  </si>
  <si>
    <t>España / Spain</t>
  </si>
  <si>
    <t>Para promover la participación política y defender la vida y la dignidad humana · http://www.facebook.com/HazteOir.org · https://google.com/+hazteoir</t>
  </si>
  <si>
    <t>https://pbs.twimg.com/media/Dt1gjx6W4AUmhnM.jpg</t>
  </si>
  <si>
    <t>http://www.hazteoir.org</t>
  </si>
  <si>
    <t>Periodista Freelance desde mi Batcueva. Ahijado de mi tía Chus. |Cinéfilo| |Seriéfilo| |Melómano| |Viajero| |Foodie| |Enópata|</t>
  </si>
  <si>
    <t>https://www.youtube.com/user/superpipo242</t>
  </si>
  <si>
    <t>A🎗bertEscuer</t>
  </si>
  <si>
    <t>-Comparte los valores y principios de @Albert_Rivera -Asegura que los que más aman a los toros son los toreros -Se manifiesta con @jusapol -Participa en mítines de UPyD Con tod@s ustedes @BeatrizTalegon ¡Ella no representa al independentismo, que no os venda la moto!</t>
  </si>
  <si>
    <t>https://pbs.twimg.com/media/Dt0V1A2W4AA3ulM.jpg</t>
  </si>
  <si>
    <t>Ciutadà del món del sector de la comunicació i el periodisme...o lo que queda d'ell. La gent no canvia. El problema és que no la coneixes bé</t>
  </si>
  <si>
    <t>AtticusFinch</t>
  </si>
  <si>
    <t>Es imperdonable la banalización del fascismo que hacen algunos al llamar fascismo absolutamente a todo, desde Manuel Valls hasta Albert Rivera pasando por el PSC.</t>
  </si>
  <si>
    <t>Javier Garrido</t>
  </si>
  <si>
    <t>¿Tan ávido de tocar poder está @Albert_Rivera que no le importa mantener al PSOE? ¿Prefiere gana ahora en Andalucía y perder en España en la próximas elecciones? #EleccionesAndaluzas #FueraPSOE</t>
  </si>
  <si>
    <t>Abogado, socialdemócrata, progresista, federalista y fanático de no ser fanático. RT is not endorsement</t>
  </si>
  <si>
    <t>Biografia pendiente del epitafio</t>
  </si>
  <si>
    <t>Toni 🔻 #NoPassaran</t>
  </si>
  <si>
    <t>Si Pablo Casado, Albert Rivera y Santiago Abascal dijeran “O esto o nada” mientras el ejército apunta al resto con sus armas, me lo imagino. RT @diostuitero: ¿Os imagináis a Pablo Casado, Pedro Sánchez, Albert Rivera, Pablo Iglesias, Gabriel Rufián y Santiago Abascal pactando una Constitución?</t>
  </si>
  <si>
    <t>https://twitter.com/diostuitero/status/1070703777911631874</t>
  </si>
  <si>
    <t>Alacant Terminal / País Valencià</t>
  </si>
  <si>
    <t>Somos los que fueron tanto siendo nada.</t>
  </si>
  <si>
    <t>@pp_latina</t>
  </si>
  <si>
    <t>"Esto es de risa".😁...@CiudadanosCs, con su líder, @Albert_Rivera, a la cabeza, ni dan pie con bola. Sus razones tendrán y lo tendrán que explicar.</t>
  </si>
  <si>
    <t>Albert Rivera en VI Escuela de Verano DENAES 2012 📡 Pleitesía,</t>
  </si>
  <si>
    <t>https://www.google.es/amp/amp.rtve.es/noticias/20181205/ciudadanos-llega-acuerdo-independentistas-para-renovar-cupula-tv3-catalunya-radio/1849149.shtml</t>
  </si>
  <si>
    <t>https://youtu.be/V9YYQDqha-Q?bws99=3200990305</t>
  </si>
  <si>
    <t>Twitter Oficial del Partido Popular del Distrito de Latina (Madrid)</t>
  </si>
  <si>
    <t>http://www.pplatina.es</t>
  </si>
  <si>
    <t>Bertín Osborne carga contra todos, excepto Albert Rivera y Pablo Casado: "España es el país con más políticos idiotas por metro cuadrado"</t>
  </si>
  <si>
    <t>📻Escucha la entrevista de ayer a @Albert_Rivera en el programa "14 horas" de @rne , con motivo de la celebración del #DiaDeLaConstitucion. 💬@Albert_Rivera "Antes que reformar la Constitución, hay que defenderla y aplicarla en toda España"</t>
  </si>
  <si>
    <t>https://www.youtube.com/watch?v=kkG_dWoUpyc&amp;utm_source=dlvr.it&amp;utm_medium=twitter</t>
  </si>
  <si>
    <t>Periko</t>
  </si>
  <si>
    <t>Ya los llamamos fachas,,!! los dejamos, blanquearse @Albert_Rivera y @pablocasado_ viva el rey, viva franco. ,</t>
  </si>
  <si>
    <t>https://pbs.twimg.com/media/Dt0QtoHWwAAkloo.jpg</t>
  </si>
  <si>
    <t>Pais Valenciá</t>
  </si>
  <si>
    <t>Republicano, Animalista, Ciudadano del Mundo.</t>
  </si>
  <si>
    <t>Kantmg</t>
  </si>
  <si>
    <t>Me parece el modelo ideal. No se explota a mujeres ni el motivo es económico,sólo les mueve una razón altruista.@Albert_Rivera ,toma nota!!! RT @AlfonsoRojoPD: ¿Por qué cientos de mujeres en Canadá se ofrecen gratuitamente para gestar hijos ajenos?</t>
  </si>
  <si>
    <t>https://twitter.com/AlfonsoRojoPD/status/1071027515102253056
http://www.periodistadigital.com/america/sociedad/2018/12/07/por-que-cientos-de-mujeres-en-canada-se-ofrecen-gratuitamente-para-gestar-hijos-ajenos.shtml</t>
  </si>
  <si>
    <t>R.D.</t>
  </si>
  <si>
    <t>Un escándalo (robo) mayor que el de los EREs en Andalucía... Otro tema a investigar con jueces realmente imparciales no nombrados a dedo... @vox_es @PPopular @UPYD @CiudadanosCs @Albert_Rivera @pablocasado_ @rosadiezglez @Albert_Rivera @guardiacivil</t>
  </si>
  <si>
    <t>pic.twitter.com/8aXam8t3Li</t>
  </si>
  <si>
    <t>@Ana Ante LaNoche</t>
  </si>
  <si>
    <t>Dia 13 de Diciembre 2018 Finaliza Juicio de 1 de las Partidas #Eres (1 año duró) ¿Querra @CiudadanosCs @Albert_Rivera (porque Vox, No) dejar #Andalucia ¿muerta? ¿Por?👈 2014 De #ERES #Robo #Parados #PSOE con #IU eran y son de hermanos, cuñados y primos</t>
  </si>
  <si>
    <t>#Governem-nos</t>
  </si>
  <si>
    <t>A Albert Rivera, no le va a gustar ésto @lacompetencia</t>
  </si>
  <si>
    <t>https://pbs.twimg.com/media/CZ0QFd_WEAAsqtW.jpg</t>
  </si>
  <si>
    <t>https://pbs.twimg.com/media/Dt1P82WX4AA4k-L.jpg</t>
  </si>
  <si>
    <t>Málaga-España</t>
  </si>
  <si>
    <t>¿Quién serás esta noche,nostalgia de arrugas en el alma,para los que desprecian terrores y años vividos?Pajaro en el oscuro sueño, de tantas madrugadas</t>
  </si>
  <si>
    <t>De LLERONA, Dir.General Xarxa 2.0 de ca meu. Agro-ecologia @verdolagaeco. Opino de vegades a @naciogranollers .</t>
  </si>
  <si>
    <t>http://lespedresparlen.wordpress.com</t>
  </si>
  <si>
    <t>Seguro que se os pasado con los fastos de la Constitución, pero no he visto ni un tuit vuestro celebrando la detención de uno de los asesinos de los abogados de Atocha @pablocasado_ @Albert_Rivera</t>
  </si>
  <si>
    <t>Es esto cierto @Albert_Rivera @InesArrimadas @CiudadanosCs ?? ¿Es éste el compromiso de @CiudadanosCs contra la corrupción?? De verdad!!???? #Así_NO RT @okdiario: #ÚLTIMAHORA | C's pacta con PSOE y Podemos librar a Sánchez de explicar su tesis ‘fake’ en la Asamblea de Madrid</t>
  </si>
  <si>
    <t>https://twitter.com/okdiario/status/1070428145763921926
https://okdiario.com/espana/madrid/2018/12/05/cs-pacta-psoe-podemos-librar-sanchez-explicar-tesis-fake-asamblea-madrid-3432942?utm_campaign=ok&amp;utm_medium=Social&amp;utm_source=Twitter#Echobox=1544044930</t>
  </si>
  <si>
    <t>David Ortiz</t>
  </si>
  <si>
    <t>¿Os habéis dado cuenta de que Albert Rivera ya no habla de su ídolo Macron?</t>
  </si>
  <si>
    <t>pic.twitter.com/ulOeSVB1Ce</t>
  </si>
  <si>
    <t>aquí y allá</t>
  </si>
  <si>
    <t>Librepensador. Alguna vez escribo en Infolibre. El humor ha de ser como un látigo con cascabeles en la punta. José Martí</t>
  </si>
  <si>
    <t>Enrique J. González</t>
  </si>
  <si>
    <t>.@vox_es @Santi_ABASCAL @Albert_Rivera ‼️Otra vez. Su veleta naranja, es movida por acción de los vientos generados por esa batuta (defensora de intereses ajenos a nuestra España), que le dirige. ⛔️Sigue haciendo gala de su indefinición política. ⚠️A cambio de qué, Sr. Rivera⁉️</t>
  </si>
  <si>
    <t>https://pbs.twimg.com/media/Dt0KtrJXQAAdiaq.jpg</t>
  </si>
  <si>
    <t>iMendi</t>
  </si>
  <si>
    <t>El Albert Rivera frances enseña sus patitas. RT @_ju1_: Si este video donde cientos de menores de edad son humillados y vejados por miembros de la policia fuera de Cuba, estaría dando la vuelta al mundo y abriría los telediarios. Pero no, es la Francia macronista.</t>
  </si>
  <si>
    <t>Talavera la Real, Badajoz</t>
  </si>
  <si>
    <t>Análisis y opiniones personales. voxtalaveralareal@gmail.com</t>
  </si>
  <si>
    <t>http://www.voxespana.es</t>
  </si>
  <si>
    <t>Basqueland</t>
  </si>
  <si>
    <t>Lost in the mad worl of so-called Free Worl. Egoak ebaki banitzkion... Neria izango zen...</t>
  </si>
  <si>
    <t>personas≠DERECHOS=💚</t>
  </si>
  <si>
    <t>Europa o los fachas: la amnesia disociativa de Albert Rivera</t>
  </si>
  <si>
    <t>https://www.playgroundmag.net/now/europa-o-los-fachas-la-amnesia-disociativa-de-albert-rivera_31443293.html</t>
  </si>
  <si>
    <t>personas≠DERECHOS= 💜❤️💚somos+=que≠ ❤💛💜 🐦 ❤️💛💚💙💜 derechos iguales = personas diferentes ≠ 🙂💙💜❤️ 🐦 💘🍎🍐 🐦 💚💚💚 🐦</t>
  </si>
  <si>
    <t>Álvaro de Marichalar(Naufrago)</t>
  </si>
  <si>
    <t>Espero que @Albert_Rivera pacte con @Santi_ABASCAL para salvar la unidad de España y de los españoles.</t>
  </si>
  <si>
    <t>Francisco González.</t>
  </si>
  <si>
    <t>Bea Talegón, la "veleta" política, haciendo el ridículo. Da igual cuando leas esto... Me levanto del PSOE, desayuno siendo de UPyD, le chupo el culo a Albert Rivera, me voy a la manifestación de Jusapol y de repente, me hago independientista por un año. Ahora se hace de VOX.</t>
  </si>
  <si>
    <t>Málaga, Europe's paradise.</t>
  </si>
  <si>
    <t>Graduado en Derecho y preparándome para ser notario. Malagueño y malaguista. Antisistema adorador de Jimi Hendrix. Si no te caigo bien, lo siento.</t>
  </si>
  <si>
    <t>http://instagram.com/franglezsosa</t>
  </si>
  <si>
    <t>España Unida 🇪🇸</t>
  </si>
  <si>
    <t>Ni facha ni trilero, soy un náufrago. Levantar la mano y el puño es la misma mierda. ♥️💛♥️</t>
  </si>
  <si>
    <t>http://www.alvaronaufrago.com</t>
  </si>
  <si>
    <t>En el metro hay un tío idéntico a Albert Rivera con 20 años. 💀💀💀💀💀</t>
  </si>
  <si>
    <t>Juan Luis Rodríguez</t>
  </si>
  <si>
    <t>Es espectacular. Cuando @pablocasado_ y @Albert_Rivera se repartan el pastel de Andalucía desde Madrid, nos van a querer convencer de que #caminantesblancos no van a intervenir directa o indirectamente en el gobierno de Andalucía.</t>
  </si>
  <si>
    <t>https://pbs.twimg.com/media/Dt0GXgyWsAEDhGN.jpg</t>
  </si>
  <si>
    <t>París, Francia</t>
  </si>
  <si>
    <t>525600 minutes</t>
  </si>
  <si>
    <t>http://instagram.com/adri_emw</t>
  </si>
  <si>
    <t>Concejal en el Ayuntamiento de Alcalá de Guadaíra.</t>
  </si>
  <si>
    <t>Ismael Fol Arribas</t>
  </si>
  <si>
    <t>¿@Albert_Rivera o el Wipp Express del fascismo español?</t>
  </si>
  <si>
    <t>El Albert Rivera francés está mandando polis a los colegios para repartir un poco de cambio sensato.</t>
  </si>
  <si>
    <t>Valladolid, España</t>
  </si>
  <si>
    <t>Ingeniero Forestal, Máster en Ingeniería Ambiental, Jotero y Militante del PSOE. La vida es como una obra de teatro. Disfruta hasta que baje el telón 16-12-11</t>
  </si>
  <si>
    <t>Julián</t>
  </si>
  <si>
    <t>Inma Vega</t>
  </si>
  <si>
    <t>Lo nunca contado de la ‘íntima’ amistad entre Albert Rivera y Santiago Abascal #Vox #ciudadanos</t>
  </si>
  <si>
    <t>http://www.citizengo.org/hazteoir/pc/167099-al-psoe-ni-agua-sr-rivera?tc=tw&amp;tcid=52567159</t>
  </si>
  <si>
    <t>Amo ergo sum. Citizen of the world. Lived in England, Asia and France. I am not catalan, but I am lucky to live in Barcelona.</t>
  </si>
  <si>
    <t>http://www.instagram.com/inma_vega</t>
  </si>
  <si>
    <t>Podréis censurar la ficción, pero no la realidad. Hunt or be Hunted</t>
  </si>
  <si>
    <t>Miguel 🇪🇸 🇪🇸</t>
  </si>
  <si>
    <t>NewZealander</t>
  </si>
  <si>
    <t>¿Como se pone Wenceslao? Ni la mitad que Albert Rivera.</t>
  </si>
  <si>
    <t>http://www.citizengo.org/hazteoir/pc/167099-al-psoe-ni-agua-sr-rivera?tc=tw&amp;tcid=52567133</t>
  </si>
  <si>
    <t>Santander</t>
  </si>
  <si>
    <t>No necesito religión, tengo conciencia.</t>
  </si>
  <si>
    <t>http://www.nowebpage.es</t>
  </si>
  <si>
    <t>Español,cristiano católico, contrario al aborto.</t>
  </si>
  <si>
    <t>NACHOTECNOLOGIA</t>
  </si>
  <si>
    <t>Artículo 155 CE Ya @InesArrimadas @GirautaOficial @Albert_Rivera Buch cree que algunos mossos se extralimitaron en las cargas</t>
  </si>
  <si>
    <t>https://www.larazon.es/espana/buch-cree-que-algunos-mossos-se-extralimitaron-en-las-cargas-LM20867480</t>
  </si>
  <si>
    <t>Elecciones ANDALUZAS: ALBERT RIVERA pide elecciones generales a PEDRO SÁ...  vía @YouTube</t>
  </si>
  <si>
    <t>https://youtu.be/g-JQWk3Wb8U</t>
  </si>
  <si>
    <t>VidALeT🎗</t>
  </si>
  <si>
    <t>ÚLTIMA HORA!! Diversas fuentes aseguran que Albert Rivera tiene almenos un Grammy asegurado esta noche.</t>
  </si>
  <si>
    <t>Pirata fullero i cabronet</t>
  </si>
  <si>
    <t>Master Software Libre Master Prevención Riesgos Laborales. Ingeniero de Sistemas de Información. Diplomado Informática de Gestión. Luchador por las libertades.</t>
  </si>
  <si>
    <t>Emonru136</t>
  </si>
  <si>
    <t>Ojalá @Pablo_Iglesias_ @Albert_Rivera @Santi_ABASCAL @sanchezcastejon y todos los que nos representáis, le dediquéis unos minutos a este articulo para que podáis sacar vuestras propias conclusiones.Ser liberal | Edición impresa | EL PAÍS</t>
  </si>
  <si>
    <t>David For 🇪🇸🇵🇹</t>
  </si>
  <si>
    <t>Albert Rivera: “Ni Junqueras ni Puigdemont van a modificar la Constitución a su gusto”  Compartido desde Discover</t>
  </si>
  <si>
    <t>https://elpais.com/diario/2006/03/18/opinion/1142636405_850215.html</t>
  </si>
  <si>
    <t>https://elpais.com/politica/2018/11/28/actualidad/1543422865_729627.html</t>
  </si>
  <si>
    <t>Zufre, España</t>
  </si>
  <si>
    <t>I'm in love til the trancas Yo no elegí nacer en Andalucía, simplemente tuve suerte.</t>
  </si>
  <si>
    <t>BCN - Vigo</t>
  </si>
  <si>
    <t>Pachi RUIZ</t>
  </si>
  <si>
    <t>http://www.citizengo.org/hazteoir/pc/167099-al-psoe-ni-agua-sr-rivera?tc=tw&amp;tcid=52566926</t>
  </si>
  <si>
    <t>CEUTA</t>
  </si>
  <si>
    <t>CONSTANTE</t>
  </si>
  <si>
    <t>Angel Ibo</t>
  </si>
  <si>
    <t>El tribunal comenta que , "no existe infracción alguna sancionable imputable a Cs", dando así la razón a la formación de Albert Rivera y zanjando el procedimiento que se inició tras "la comisión show" promovida por el PP en el Senado. #FelizFinde</t>
  </si>
  <si>
    <t>Arcovi</t>
  </si>
  <si>
    <t>Puertollano, España</t>
  </si>
  <si>
    <t>http://www.citizengo.org/hazteoir/pc/167099-al-psoe-ni-agua-sr-rivera?tc=tw&amp;tcid=52566870</t>
  </si>
  <si>
    <t>💛 De Puertollano, para Puertollano , por Puertollano ,💛 🇦🇹. Organización Provincial de Ciudadanos en C.Real.🍊 Coordinador @cspuertollano.🍊</t>
  </si>
  <si>
    <t>http://ciudadreal.ciudadanos-cs.org/</t>
  </si>
  <si>
    <t>Barbanza-Galicia, España</t>
  </si>
  <si>
    <t>Mi vida, caminando....No soy ni de dchas., izq., ni de centro. Digo lo q siento.</t>
  </si>
  <si>
    <t>Rosi</t>
  </si>
  <si>
    <t>Mismas ideas pero distinta forma de decirlas pero en el fondo son lo mismo Lo nunca contado de la ‘íntima’ amistad entre Albert Rivera y Santiago Abascal</t>
  </si>
  <si>
    <t>JordiOD</t>
  </si>
  <si>
    <t>Vamos a pedir la opinión de esto a @Albert_Rivera</t>
  </si>
  <si>
    <t>https://pbs.twimg.com/media/Dtz_CykX4AAKfwN.jpg</t>
  </si>
  <si>
    <t>Santa Coloma de Gramenet, España</t>
  </si>
  <si>
    <t>Ciencia Ciencia Política</t>
  </si>
  <si>
    <t>FD</t>
  </si>
  <si>
    <t>Sev</t>
  </si>
  <si>
    <t>Mi vocación: Servir al ciudadano, pero la vida me deparo otro destino. Por mis venas corre sangre verde/azul. Ahora soy Ángel Custodio</t>
  </si>
  <si>
    <t>http://facebook.com/f.diazfran</t>
  </si>
  <si>
    <t>Lopo Isaac</t>
  </si>
  <si>
    <t>Albert Rivera no es músico pero siempre lleva unos #GRAMMYs en la cartera.</t>
  </si>
  <si>
    <t>A Coruña, Spain</t>
  </si>
  <si>
    <t>Ser humano con manos</t>
  </si>
  <si>
    <t>Español de bien.</t>
  </si>
  <si>
    <t>Girona y Terrassa Doctor @sanchezcastejon aplique el 155, o el que se le plante de las pelotas, pero aplique algo joder, que esto se les está yendo de las manos. @Santi_ABASCAL @laSextaTV @CristinaSegui_ @20m @CiudadanosCs @Albert_Rivera @InesArrimadas @pablocasado_ @A3Noticias</t>
  </si>
  <si>
    <t>Digo lo que pienso, me da lo mismo si te gusta o no, es lo que hay. Llamame facha o fascista, te responderé con un GIF.</t>
  </si>
  <si>
    <t>Buenos días @galceran_montse , @ManuelaCarmena , @provivienda_org , @emvsmadrid , @CasaReal , @sanchezcastejon , @pablocasado_ , @Albert_Rivera , @InesArrimadas , @Santi_ABASCAL . ¿También podéis revisar esto? Para que sea real, que no REAL... "GRACIAS." #stopdesahucios</t>
  </si>
  <si>
    <t>https://pbs.twimg.com/media/Dtz97yXW4AAGQcj.jpg</t>
  </si>
  <si>
    <t>Alfredo P. Freddy</t>
  </si>
  <si>
    <t>Aqui vemos que en Francia se manifiestan por ganar 1200€ y que el resto de cosas les cueste menos que a nosotros Estos eran los precios tan caros que habia en el resto de Europa Viva el rey!! Por cierto, gobierno de @EmmanuelMacron = gobierno de @Albert_Rivera RT @VictorGonz54: ¿Por qué el pueblo francés está en la calle? Escucha, escucha. Y ahora pregúntate si en España SUBEN sistemáticamente: Agua, Luz, Gas, Alquiler y REDUCEN: Salarios, Sanidad, Educación, Dependiencia, Ayudas Sociales ... ¿Por qué los "españoles" NO ESTÁN EN LA CALLE? #FelizFinde</t>
  </si>
  <si>
    <t>https://twitter.com/VictorGonz54/status/1070827335484624903</t>
  </si>
  <si>
    <t>pic.twitter.com/uWzokKZTdf</t>
  </si>
  <si>
    <t>80´s, AupaAthletic, George Michael, Ojos grises, Humor de colores, Burgers, Libra, PODEMOS, Wyoming, Prospe, Madrid, freddyfarlosto@blogspot.com.es</t>
  </si>
  <si>
    <t>Buenos días @galceran_montse , @ManuelaCarmena , @provivienda_org , @emvsmadrid , @CasaReal , @sanchezcastejon , @pablocasado_ , @Albert_Rivera , @InesArrimadas , @Santi_ABASCAL . Le echáis un vistazo a esto, ¿¿¿POR FAVOR??? "GRACIAS."  #stopdesahuciosRT @alwaysfree86: Mi desahucio terminará de la peor de las maneras..SUICIDIO @galceran_montse @ManuelaCarmena @provivienda_org @emvsmadrid @La1_tve @antena3com @cuatro @telemadrid @telecincoes @laSextaTV @MADRID @ComunidadMadrid @JMDTetuan @Tetuan30Dias @Invisibles_T @OSTetuan</t>
  </si>
  <si>
    <t>Arturo Enriquez</t>
  </si>
  <si>
    <t>No podemos retroceder en las libertades logradas. Hay que respetar. @Cs_Badalona @Cs_SantAdria @Albert_Rivera RT @dexamina: A los que tenéis pensado votar a Vox: ¿De verdad estáis de acuerdo con esto?</t>
  </si>
  <si>
    <t>https://twitter.com/dexamina/status/1070403607172927491
https://twitter.com/elprogramadear/status/1070258176149413888</t>
  </si>
  <si>
    <t>Ángel Castillo</t>
  </si>
  <si>
    <t>Gonzalo Sánchez</t>
  </si>
  <si>
    <t>SORPRESA: Dice que Albert Rivera y Pablo Casado se salvan. RT @abc_es: Bertín Osborne: «España es el país con más políticos idiotas por metro cuadrado»</t>
  </si>
  <si>
    <t>http://www.citizengo.org/hazteoir/pc/167099-al-psoe-ni-agua-sr-rivera?tc=tw&amp;tcid=52566360</t>
  </si>
  <si>
    <t>https://twitter.com/abc_es/status/1071022767296917504
http://ver.abc.es/lbk4w1</t>
  </si>
  <si>
    <t>Calle Cortada</t>
  </si>
  <si>
    <t>Estudiante de periodismo de la UV. Los cínicos no sirven para este oficio. También bebo cerveza</t>
  </si>
  <si>
    <t>https://ressosite.wordpress.com/</t>
  </si>
  <si>
    <t xml:space="preserve">Madrid </t>
  </si>
  <si>
    <t>Firme defensor de la familia, los valores cristianos y en contra del aborto</t>
  </si>
  <si>
    <t>Supongo que @Albert_Rivera "sólo ve españoles" aquí. RT @MailloAntonio: Toda nuestra solidaridad y apoyo a compañeros de @iuantequera cuya sede ha sufrido ataque de la extrema derecha. Nos quieren con miedo, nos hacen más fuertes</t>
  </si>
  <si>
    <t>https://twitter.com/MailloAntonio/status/1070997685585526785</t>
  </si>
  <si>
    <t>https://pbs.twimg.com/media/DtzytsBW4AIlX0-.jpg</t>
  </si>
  <si>
    <t>Rafael Lopez-Trejo Z</t>
  </si>
  <si>
    <t>http://www.citizengo.org/hazteoir/pc/167099-al-psoe-ni-agua-sr-rivera?tc=tw&amp;tcid=52566313</t>
  </si>
  <si>
    <t>Las Palmas de Gran Canaria, Is</t>
  </si>
  <si>
    <t>Como siempre en lucha y hasta la victoria final.</t>
  </si>
  <si>
    <t>Mediagua</t>
  </si>
  <si>
    <t>La distorsión de los precios impuestos por el comunismo de Maduro. Un saco de pienso para perro vale más que un toro de 500Kg. El sector ganadero lleva años en pérdidas por control de precios. @hermanntertsch @B_ca_es_eu @JulioBorges @Albert_Rivera @MariaCorinaYA @beatrizbecerrab</t>
  </si>
  <si>
    <t>@Mariano9605</t>
  </si>
  <si>
    <t>El futuro de Andalucía se decide en Madrid via @El_Plural  Pablo Casado y Albert Rivera negocian el pacto: para el PP la Presidencia de la Junta y para Cs la Vicepresidencia, además de la Presidencia del Parlamento</t>
  </si>
  <si>
    <t>España.</t>
  </si>
  <si>
    <t>60 años desde mi nacimiento. NO UTILIZO DM</t>
  </si>
  <si>
    <t xml:space="preserve">Luchando por la Democracia </t>
  </si>
  <si>
    <t>Víctor Arrogante ✊</t>
  </si>
  <si>
    <t>El Gobierno acusa a Pablo Casado y a Albert Rivera de "blanquear" a Vox y espera que Andalucía no se convierta en la "cuna de la ultraderecha"  #CMin</t>
  </si>
  <si>
    <t>https://www.eldiario.es/politica/Gobierno-cuestiona-PP-Ciudadanos-Junta_0_843765967.html</t>
  </si>
  <si>
    <t>https://pbs.twimg.com/media/Dt0WDDSWwAIKA2t.jpg</t>
  </si>
  <si>
    <t>J. Alberto Recio</t>
  </si>
  <si>
    <t>http://www.citizengo.org/hazteoir/pc/167099-al-psoe-ni-agua-sr-rivera?tc=tw&amp;tcid=52566217</t>
  </si>
  <si>
    <t>Madrid (España)</t>
  </si>
  <si>
    <t>Profesor. Ayer y hoy militante por la justicia, la igualdad y la solidaridad. Inmediatamente me di cuenta que era algo por lo que merecía la pena luchar</t>
  </si>
  <si>
    <t>http://www.multiforo.eu</t>
  </si>
  <si>
    <t>CUSTODIA COMPARTIDA LEÓN</t>
  </si>
  <si>
    <t>sofiyou</t>
  </si>
  <si>
    <t>http://www.citizengo.org/hazteoir/pc/167099-al-psoe-ni-agua-sr-rivera?tc=tw&amp;tcid=52566213</t>
  </si>
  <si>
    <t>ESPAÑA</t>
  </si>
  <si>
    <t>adicta al malaga cf y a la vida.</t>
  </si>
  <si>
    <t>Bienve Ferrer</t>
  </si>
  <si>
    <t>http://www.citizengo.org/hazteoir/pc/167099-al-psoe-ni-agua-sr-rivera?tc=tw&amp;tcid=52566184</t>
  </si>
  <si>
    <t>Mayo</t>
  </si>
  <si>
    <t>El sol engaña, como Albert Rivera.</t>
  </si>
  <si>
    <t>azotedepoliticos</t>
  </si>
  <si>
    <t>El petróleo 30% cauda en tres meses y gasoliba suve cada dia. Es de verguenza @pablocasado_ @Albert_Rivera @Santi_ABASCAL</t>
  </si>
  <si>
    <t xml:space="preserve">Madrí </t>
  </si>
  <si>
    <t>ejqueísta, concebollista y blasfema. Siempre tengo que ir a por tabaco.</t>
  </si>
  <si>
    <t>ESPAÑOL Y EUROPEO por los cuatro costados y defensor de la unidad de España. Anti independentista vividores de ESPAÑA Y especialmente ANTI POTEMOS.</t>
  </si>
  <si>
    <t>HUMOR INDIGNADO</t>
  </si>
  <si>
    <t>Si Macron es el ejemplo de Albert Rivera, y la policia de Macron trata así a los estudiantes que se manifiestan... ¿Qué podemos esperar de Albert Rivera? RT @Obs_Violences: D'autres images de l'interpellation de dizaines de lycéens, aujourd'hui à Mantes-la-Jolie.</t>
  </si>
  <si>
    <t>https://twitter.com/Obs_Violences/status/1070768467907919872</t>
  </si>
  <si>
    <t>pic.twitter.com/ghv8K91e7l</t>
  </si>
  <si>
    <t>"Lo más gracioso es que hablo en serio"</t>
  </si>
  <si>
    <t>Pedro José De J.</t>
  </si>
  <si>
    <t>Abascal no es santo de mi devoción, me gustaria que @Albert_Rivera fuere Pdte del gobierno Español, en las elecciones de Andalucia crecio notoriamente, pero el PP tiene mas posibilidad... :)</t>
  </si>
  <si>
    <t>Barquisimeto, Venezuela</t>
  </si>
  <si>
    <t>27 years old, lawyer believer of the justice, democracy and lover of the liberty ♥.</t>
  </si>
  <si>
    <t>Albert Rivera en VI Escuela de Verano DENAES 2012 🔉 DERECHA-IZQUIERDA,</t>
  </si>
  <si>
    <t>https://youtu.be/V9YYQDqha-Q?toa66=3878515042</t>
  </si>
  <si>
    <t>http://canariasenhora.com/#!/rivera-pide-dejar-a-un-lado-el-guerracivilismo-de-rojos-y-azules</t>
  </si>
  <si>
    <t>adrián</t>
  </si>
  <si>
    <t>Mira @Albert_Rivera esto es una pintada fascista y no la obra de arte que hicieron en vuestra sede. RT @MailloAntonio: Toda nuestra solidaridad y apoyo a compañeros de @iuantequera cuya sede ha sufrido ataque de la extrema derecha. Nos quieren con miedo, nos hacen más fuertes</t>
  </si>
  <si>
    <t>montilla - córdoba - andalucía antifascista</t>
  </si>
  <si>
    <t>sevillista. estudiante de diseño gráfico. antifascista.</t>
  </si>
  <si>
    <t>http://instagram.com/adribaar14</t>
  </si>
  <si>
    <t>No entiendo q partidos totalitarios y en contra de España sigan sin estar ilegalízados y los tenemos q mantener con nuestros impuestos. Es q somos gilipollas @Santi_ABASCAL @Albert_Rivera @pablocasado_</t>
  </si>
  <si>
    <t>Patrix | Salvar Marta</t>
  </si>
  <si>
    <t>Es...Albert Rivera RT @tupendoES: Poco se habla de que llevamos todo el día preparando estos pedidos de Alfred sin parar 💡⚡️ 🔴 😀 #OTDirecto7DIC #DeLaTiereaHastaMarte</t>
  </si>
  <si>
    <t>https://twitter.com/tupendoES/status/1071018778316673025</t>
  </si>
  <si>
    <t>https://pbs.twimg.com/media/Dt0F5fsWkAAwlvV.jpg</t>
  </si>
  <si>
    <t>LGT(B)+. VCF🦇. Gryffindor⚡. Me paso 24/7 viendo series y pelis, también leo mucho. Marticona, aitaia y guitaroista. Miriam supremacist 🦁🤟🏻. Viva Pablo López</t>
  </si>
  <si>
    <t>RAMON MATA SANCHEZ</t>
  </si>
  <si>
    <t>http://www.citizengo.org/hazteoir/pc/167099-al-psoe-ni-agua-sr-rivera?tc=tw&amp;tcid=52565947</t>
  </si>
  <si>
    <t>guitxe</t>
  </si>
  <si>
    <t>Ahora en serio, ¿Albert Rivera no está nominado al Grammy?</t>
  </si>
  <si>
    <t>bcn / l'h</t>
  </si>
  <si>
    <t>Ex-contrabandista de pescado.</t>
  </si>
  <si>
    <t>rosa dominguez</t>
  </si>
  <si>
    <t>José Castro</t>
  </si>
  <si>
    <t>http://www.citizengo.org/hazteoir/pc/167099-al-psoe-ni-agua-sr-rivera?tc=tw&amp;tcid=52565868</t>
  </si>
  <si>
    <t>Hasta los cojones de la organización criminal: POLÍTICA-ECONÓMICA-MEDIÁTICA. Causantes de muchísimos males que ocurren en nuestras sociedades. MISERABLES-HDLGP.</t>
  </si>
  <si>
    <t>Amparo Rubiales</t>
  </si>
  <si>
    <t>feminismo: ideología q defiende que las mujeres deben tener los mismos derechos, reales y efectivos, que los hombres</t>
  </si>
  <si>
    <t>Fernando</t>
  </si>
  <si>
    <t>http://www.citizengo.org/hazteoir/pc/167099-al-psoe-ni-agua-sr-rivera?tc=tw&amp;tcid=52565807</t>
  </si>
  <si>
    <t>Torra pretende purgar a los Mossos que cumplen con su obligación mientras anima a los comandos separatistas para que sigan apretando, coaccionando y amedrentando a los catalanes constitucionalistas. Bien @Lroldansu poniendo al supremacista en su sitio👇🏻</t>
  </si>
  <si>
    <t>Alcorcon</t>
  </si>
  <si>
    <t>padre de familia, preocupado por la politica y la economia</t>
  </si>
  <si>
    <t>Maria Angustias</t>
  </si>
  <si>
    <t>LUIS ENRIQUE</t>
  </si>
  <si>
    <t>http://www.citizengo.org/hazteoir/pc/167099-al-psoe-ni-agua-sr-rivera?tc=tw&amp;tcid=52565786</t>
  </si>
  <si>
    <t>vayamos a por todas</t>
  </si>
  <si>
    <t>Elpa Jarraco</t>
  </si>
  <si>
    <t>Hoy es un buen día para @Pablo_Iglesias_ , @pablocasado_ , @Albert_Rivera, @Santi_ABASCAL y demás crispadores profesionales. No tenéis altura política para manejar situaciones tan delicadas como la que vive España. ¡Sois unos incendiarios irresponsables!</t>
  </si>
  <si>
    <t>The Anon brick #FreeAssange</t>
  </si>
  <si>
    <t>Tanto monta, monta tanto... Jodiendo y por el saco dando.</t>
  </si>
  <si>
    <t>Dicen que me parezco a Benicio del todo.</t>
  </si>
  <si>
    <t>Matrix 3.0 (CaribbeanDivision)</t>
  </si>
  <si>
    <t>Cuenta alternativa de @SopapersAnon (bloqueada por TW) Mulato. Antifascista. Contra cualquier tipo de abuso. Tengo una tortuga palustre: Ninja, hija de Chukito.</t>
  </si>
  <si>
    <t>Eduardo Mackenzie</t>
  </si>
  <si>
    <t>http://www.citizengo.org/hazteoir/pc/167099-al-psoe-ni-agua-sr-rivera?tc=tw&amp;tcid=52565551</t>
  </si>
  <si>
    <t>France</t>
  </si>
  <si>
    <t>Journaliste et écrivain</t>
  </si>
  <si>
    <t>http://page.is/eduardo-mackenzie</t>
  </si>
  <si>
    <t>un malagueño mas</t>
  </si>
  <si>
    <t>Como Andaluz cansado de la dictadura socialista espero y deseo que @Cs_Andalucia no tenga la indecencia de pactar con el gobierno de @susanadiaz Sería intolerable @Albert_Rivera</t>
  </si>
  <si>
    <t>Laura</t>
  </si>
  <si>
    <t>ESPAÑOL Y MUY ORGULLOSO DE ELLO, DE MALAGA LA BELLA, ANTICOMUNISTA, PROVIDA Y ANTIFEMINISTA. #DefiendeEspaña</t>
  </si>
  <si>
    <t>Torrejón de Ardoz, España</t>
  </si>
  <si>
    <t>“Nunca te equivocarás al hacer lo correcto” M. Twain</t>
  </si>
  <si>
    <t>RElorrieta</t>
  </si>
  <si>
    <t>http://www.citizengo.org/hazteoir/pc/167099-al-psoe-ni-agua-sr-rivera?tc=tw&amp;tcid=52565383</t>
  </si>
  <si>
    <t>Joaquín Strummer</t>
  </si>
  <si>
    <t>¡¡¡¡La Constitución nos protege!!!! Pero jolín, a veces se despista y le pierde la pista al artículo que dice que tenemos derecho a una vivienda digna sin que un especulador compinchado con Albert Rivera nos pida hasta 700 pavazos por un zulo. RT @elzulista: Buenas noches zulistas! Buenas noticias! El zulo de hoy que estaba a la venta ahora también lo puedes alquilar! Un zulo al más puro estilo parisino, con wc en el rellano y sin ducha, ducharse lo dejamos para el gimnasio! No solo estarás en forma por vivir en un 4° sin ascensor!</t>
  </si>
  <si>
    <t>Me gusta Bruce Springsteen y harto de Partitocracia</t>
  </si>
  <si>
    <t>https://twitter.com/elzulista/status/1070453038467465216</t>
  </si>
  <si>
    <t>https://pbs.twimg.com/media/DtsDW3LW4AEwkxx.jpg</t>
  </si>
  <si>
    <t>Madrid y Rosario (Argentina)</t>
  </si>
  <si>
    <t>No me presiones para que condene cosas en Twitter, por favor.</t>
  </si>
  <si>
    <t>Akra insurrecto</t>
  </si>
  <si>
    <t>El enchufismo durante siglos o regalar títulos universitarios a los analfabetos @pablocasado_ @Albert_Rivera...son las consecuencias de hoy..💪 El #DiscursoÚnico fascista de #Felipe6º @laSextaTV y etc, es un alegato a favor de los desahucios, la precariedad, la corrupción y etc.</t>
  </si>
  <si>
    <t>En demolición permanente. Cuando haya acabado empiezo a construir. Insurrecto por vocación, insumiso porque me sale de los cojones.</t>
  </si>
  <si>
    <t>miss B</t>
  </si>
  <si>
    <t>Los de @CiudadanosCs son socialistas peinados con la raya a un lado. Entre estas chorradas y lo de Andalucia, os va a votar Vuestra Sra madre. @Albert_Rivera @GirautaOficial #FelizFinde</t>
  </si>
  <si>
    <t>Lobosiniestro</t>
  </si>
  <si>
    <t>No es nada del otro mundo ver en el futuro a Bertín Osborne sentarse en un hemiciclo. Toni Cantó lo consiguió haciéndole la rosca a Albert Rivera.</t>
  </si>
  <si>
    <t>https://www.libertaddigital.com/ciencia-tecnologia/ciencia/2018-12-05/la-rioja-permitira-a-funcionarios-acceder-libremente-a-las-casas-para-comprobar-el-estado-de-las-mascotas-1276629389/</t>
  </si>
  <si>
    <t xml:space="preserve">Casa palacio Leguineche </t>
  </si>
  <si>
    <t>No todo lo que puede ser contado, cuenta. No todo lo que cuenta, puede ser contado #YoapoyoalJuezLlarena #APIASEMPERFIDELIS Patrona de la APIA</t>
  </si>
  <si>
    <t>Republicano de nacimiento, metalero, podemista, anti falangismo-fascismo, amante de animales y la naturaleza, defensor de los derechos sociales y humanos.</t>
  </si>
  <si>
    <t>Manuel Rocamora</t>
  </si>
  <si>
    <t>http://www.citizengo.org/hazteoir/pc/167099-al-psoe-ni-agua-sr-rivera?tc=tw&amp;tcid=52565221</t>
  </si>
  <si>
    <t>jmcarpin</t>
  </si>
  <si>
    <t>Emprendedor. Mis palabras persiguen la justicia</t>
  </si>
  <si>
    <t>Xosé Manuel Meijome</t>
  </si>
  <si>
    <t>Ogallá @QuimTorraiPla e @pablocasado_ rexeitaran por igual as agresions a persoas da ideoloxía "oposta"... iso si sería "reconciliación" e daría pé ó "consenso" mentras... imos camiño dunha ruptura violenta Tamén @sanchezcastejon @Pablo_Iglesias_ e @Albert_Rivera se deberan sumar</t>
  </si>
  <si>
    <t>pic.twitter.com/mS9WeE2Ghr</t>
  </si>
  <si>
    <t>Iberia</t>
  </si>
  <si>
    <t>SI FOSEMOS PATRIOTAS DA TERRA EN LUGAR DO ANACO DELA NO QUE A HISTORIA E A VIDA NOS BOTOU...</t>
  </si>
  <si>
    <t>http://kandpalleiro.blogspot.com/</t>
  </si>
  <si>
    <t>Aquí los “ liberales” de @CiudadanosCs aprobando leyes con Podemos y PSOE de invasión de la esfera privada. Pueden acceder a tú casa para comprobar el estado de un animal . ¿Por qué no de un niño ya puestos . @Albert_Rivera? #FelizViernes ?</t>
  </si>
  <si>
    <t>Cs Icod</t>
  </si>
  <si>
    <t>🗞 @Albert_Rivera pide dejar a un lado el "guerracivilismo de rojos y azules" (Canarias en Hora) 📲</t>
  </si>
  <si>
    <t>Icod de los Vinos, España</t>
  </si>
  <si>
    <t>Twitter oficial Ciudadanos (C's) Icod de los Vinos</t>
  </si>
  <si>
    <t>http://canarias.ciudadanos-cs.org</t>
  </si>
  <si>
    <t>Manuel Corpas</t>
  </si>
  <si>
    <t>http://www.citizengo.org/hazteoir/pc/167099-al-psoe-ni-agua-sr-rivera?tc=tw&amp;tcid=52565189</t>
  </si>
  <si>
    <t>WfiSmart</t>
  </si>
  <si>
    <t>http://www.wifismart.es</t>
  </si>
  <si>
    <t>Rebel FedⒶikin</t>
  </si>
  <si>
    <t>¿Os acordáis toda esa gente, "La Sexta" los primeros, que cuando Macrón llegó al poder tanto lo equiparavban con Albert Rivera? Pues llevan como tres semanas sin hacer una sola mención a sus semejanzas. #PorLoQueSea</t>
  </si>
  <si>
    <t>The Observer</t>
  </si>
  <si>
    <t>No lo deje más tiempo @Albert_Rivera Tiene que hablar con @manuelvalls para que entienda las prioridades del país y su encuadre en Barcelona. De otro modo ustedes desaparecerán como un azucarillo.</t>
  </si>
  <si>
    <t>Biblioteca de Trantor</t>
  </si>
  <si>
    <t>Ciudadano de mal. Solo el pueblo salva al pueblo.</t>
  </si>
  <si>
    <t>London | Beirut | Zurich | HK | Dubai |</t>
  </si>
  <si>
    <t>Boy Scout | Security clearance | Out of order | Don't trust the telephone, newspapers, radio, Twitter or tomorrow.</t>
  </si>
  <si>
    <t>Jose Luis del Rio</t>
  </si>
  <si>
    <t>Cuidado con Albert Rivera que últimamente no parece muy trigo limpio es capaz de gobernar hasta con el PSOE RT @numer344: Albert Rivera prefiere Gobernar en Andalucia con la abstención del PSOE que con el apoyo explícito de VOX. Grave error estratégico. Da síntomas del tradicional complejo del centro-derecha de este país. Muchos de sus votantes no lo entenderán. Allá él.</t>
  </si>
  <si>
    <t>MI CAPITÁN</t>
  </si>
  <si>
    <t>Hola, @CiudadanosCs, @Albert_Rivera, @JuanMarin_Cs, si pactáis con el PSOE Andaluz solo por poner a un presidente de C's estareis prolongando la etapa de cortijeo de Susana Diaz y su estructura enchufista; Seréis cómplices y los votantes no lo olvidaremos para las generales.</t>
  </si>
  <si>
    <t>https://twitter.com/numer344/status/1070646509539086336</t>
  </si>
  <si>
    <t>ᵀᴴᴱ ᴼᴿᴵᴳᴵᴺᴬᴸ</t>
  </si>
  <si>
    <t>Puedes pegarme. Puedes tirarme al suelo, incluso escupirme y mearme. Pero, por favor, no me aburras.</t>
  </si>
  <si>
    <t>Podemos Jiménez de Jamuz</t>
  </si>
  <si>
    <t>Ana Urcelay Soláns</t>
  </si>
  <si>
    <t>.Cada vez que @CiudadanosCs o @PPopular hacen un "feo" a .@vox_es es triunfo para VOX. Todo se verá reflejado en las Elecciones Generales y en el número de afiliados de cada partido. #VoxAvanza #VOX #AhoraVOX #EspanaViva CC. @Albert_Rivera @pablocasado_</t>
  </si>
  <si>
    <t xml:space="preserve">Jiménez De Jamuz </t>
  </si>
  <si>
    <t>Porque somos Rurales en #JiménezDeJamuz #Podemos email: jimenezdejamuz@Hotmail.com</t>
  </si>
  <si>
    <t>https://www.elespanol.com/espana/politica/20181206/casado-excluye-vox-acuerdo-andalucia-negociacion-cs/358714839_0.html</t>
  </si>
  <si>
    <t>Zaragoza</t>
  </si>
  <si>
    <t>Militante VOX// Delegada STOPSucesiones Huesca//Miembro AMEPHU Asoc Mujeres Empresarias// De Sept'14 a Dic'16 Presidente VOX Zaragoza</t>
  </si>
  <si>
    <t>http://www.ovb.es</t>
  </si>
  <si>
    <t>Miguel Callejo</t>
  </si>
  <si>
    <t>Esta información de @El_Plural desvela los devaneos de @CiudadanosCs con la extrema derecha. En Andalucía decide si se va con los liberales europeos o con Vox y Abascal</t>
  </si>
  <si>
    <t>Politizar y hacer política errónea a la española @UEmadrid @CasaReal @sanchezcastejon @Pablo_Iglesias_ @pablocasado_ @Albert_Rivera  vía @innovadores_inn</t>
  </si>
  <si>
    <t>"Justicia, igualdad y libertad son algo más que palabras, son metas alcanzables", V</t>
  </si>
  <si>
    <t>https://innovadores.larazon.es/es/not/politizar-y-hacer-politica-erronea</t>
  </si>
  <si>
    <t>Carlos!🎗️</t>
  </si>
  <si>
    <t>Albert Rivera sueña con hacer esto a los independentistas. RT @VictorGonz54: Esto está haciendo Macron, sí, ese "referente" de Falangito Rivera, con ESTUDIANTES de secundaria, hoy en Mantes-la-Jolie🇫🇷</t>
  </si>
  <si>
    <t>https://twitter.com/VictorGonz54/status/1070783435566911488</t>
  </si>
  <si>
    <t>pic.twitter.com/TboKWuMYiS</t>
  </si>
  <si>
    <t xml:space="preserve">Barcelona </t>
  </si>
  <si>
    <t>Llic. economia, crec en l'acció del Sector Públic. Nascut a Hondures, de Balaguer i ara a Barcelona. Nosaltres definim el model.</t>
  </si>
  <si>
    <t>http://instagram.com/clinarest</t>
  </si>
  <si>
    <t>eldiario.es</t>
  </si>
  <si>
    <t>GERA DE TABARNIA/Caballero Legionario/Templario</t>
  </si>
  <si>
    <t>Si C,s @Albert_Rivera @InesArrimadas no petmitíis el cambio en Andalucía por querer el sillón de la Junta siendo tercera fuerza no aceptando PP que es la segunda, preparaos para caer en picado en #CataluñaEsEspaña y en las Generales, porque se demostrará que no importa tanto. 👇</t>
  </si>
  <si>
    <t>Periodismo a pesar de todo. Colabora: Hazte socio -- http://www.eldiario.es/socios/alta.html</t>
  </si>
  <si>
    <t>http://www.eldiario.es</t>
  </si>
  <si>
    <t>https://pbs.twimg.com/media/Dtzh7ehXQAAfUzi.jpg</t>
  </si>
  <si>
    <t>Tabarnia, ESPAÑA #templarios</t>
  </si>
  <si>
    <t>España son todos los territorios que la componen, INDIVISIBLE. #CataluñaEsEspaña. Legionario hasta reunirme con Dios @Vox_es</t>
  </si>
  <si>
    <t>patxi infante</t>
  </si>
  <si>
    <t>El Albert Rivera francés. Ya sale poco en la tele Francia eh?? Jajajajaja sois la risa RT @VictorGonz54: ¿Por qué el pueblo francés está en la calle? Escucha, escucha. Y ahora pregúntate si en España SUBEN sistemáticamente: Agua, Luz, Gas, Alquiler y REDUCEN: Salarios, Sanidad, Educación, Dependiencia, Ayudas Sociales ... ¿Por qué los "españoles" NO ESTÁN EN LA CALLE? #FelizFinde</t>
  </si>
  <si>
    <t>Charli</t>
  </si>
  <si>
    <t>parla</t>
  </si>
  <si>
    <t>Oye @Albert_Rivera te comento. Siendo terceros en Andalucía que decís que queréis hacer un Gobierno habiendo dicho de los demás que solo buscan sillones... Lo vais a hacer de pie por lo menos no?</t>
  </si>
  <si>
    <t>#ojocuidao #muydelrollo</t>
  </si>
  <si>
    <t>Rojo, ateo sin bautizar, sevillano en Madrid, bateria, feminista, aficionado a la Astrofisíca y al rock progresivo, gamer... ah si, y odio el fútbol.</t>
  </si>
  <si>
    <t>Hyperloop apuesta ahora por el sector naviero @UEmadrid @CasaREal @sanchezcastejon @Albert_Rivera @Pablo_Iglesias_ @Pablocasado_ @GobAragon @milenioheraldo  vía @innovadores_inn</t>
  </si>
  <si>
    <t>https://innovadores.larazon.es/es/not/hyperloop-apuesta-ahora-por-el-sector-naviero</t>
  </si>
  <si>
    <t>Manuel</t>
  </si>
  <si>
    <t>Avisadme cuando Albert Rivera o Pablo Casado hagan esto RT @vox_es: 🚨 @Ortega_Smith celebró ayer los 40 años de la Constitución (a pesar del intento de boicot de los CDR) donde más falta hace: en Cataluña. Concretamente en Tarrasa. ⚔ Como decía Hernán Cortes: "No pelea el número sino el ánimo, no vencen los muchos sino los valientes" 💪🇪🇸</t>
  </si>
  <si>
    <t>https://twitter.com/vox_es/status/1071011359108816897</t>
  </si>
  <si>
    <t>pic.twitter.com/5j8B8BNS3t</t>
  </si>
  <si>
    <t>Sevilla, España 🇪🇸</t>
  </si>
  <si>
    <t>Ελευθερία ή Θάνατος</t>
  </si>
  <si>
    <t>http://instagram.com/canivell</t>
  </si>
  <si>
    <t>Ana RBlanco Ѱ</t>
  </si>
  <si>
    <t>Necesitamos huir de los sectarismos y de las dos Españas. Menos pasado y más vivir el presente (es salud mental). Menos divisiones, menos extremismos y más términos medios🙏🏼 ¡Gracias políticos! 😊 @sanchezcastejon @pablocasado_ @Pablo_Iglesias_ @Albert_Rivera @Santi_ABASCAL</t>
  </si>
  <si>
    <t>Psicóloga y muy sportinguista. Rebelde e inconformista como Mafalda. Flores, mar y rincones bonitos. Asturias, mi patria querida</t>
  </si>
  <si>
    <t>Cuánto cuesta tener un entrenador personal para el ahorro según la nueva Directiva Europea Mifid II? @UEmadrid @CasaReal @sanchezcastejon @pablocasado_ @Pablo_Iglesias_ @Albert_Rivera  vía @elEconomistaes</t>
  </si>
  <si>
    <t>Javier Alcolea</t>
  </si>
  <si>
    <t>Estas barbaridades está haciendo el gobierno de Macron, el Albert Rivera francés. Un gobierno totalmente desbordado y a la deriva. RT @CecileDuflot: Il faut dire les choses posément mais fermement : ce qui s’est passé avec les lycéens de Mantes-la-jolie - ces scènes dont il existe de nombreuses photos et vidéos - est simplement intolérable.</t>
  </si>
  <si>
    <t>http://www.eleconomista.es/mercados-cotizaciones/noticias/9567860/12/18/Cuanto-cuesta-tener-un-entrenador-personal-para-el-ahorro.html</t>
  </si>
  <si>
    <t>https://twitter.com/CecileDuflot/status/1070775698657288192
https://twitter.com/CanaryFrance/status/1070754858997829633/video/1</t>
  </si>
  <si>
    <t>Por la justicia social. Profesor de Filosofía y concejal de @AhoraGetafe</t>
  </si>
  <si>
    <t>Punk or die</t>
  </si>
  <si>
    <t>.@Albert_Rivera: "La Constitución debería reformarse fundamentalmente en cuestiones de regeneración democrática y para mejorar la igualdad de los españoles en materia de sanidad, educación, financiación autonómica o dependencia". @CiudadanosCs #PolíticaÚtilCs RT @nachoprendes: ⁦#Constitucion40 ⁦@Albert_Rivera⁩ pide superar el "guerracivilismo" y llama al PP a unirse a Ciudadanos y PSOE para afrontar una reforma constitucional 🇪🇸</t>
  </si>
  <si>
    <t>https://twitter.com/nachoprendes/status/1070664462204633089
https://www.lasexta.com/noticias/nacional/albert-rivera-pide-superar-guerracivilismo-llama-unirse-ciudadanos-psoe-afrontar-reorma-constitucional_201812065c091a4d0cf26a2d5573bc92.html</t>
  </si>
  <si>
    <t>CsMadrid Carabanchel</t>
  </si>
  <si>
    <t>📰 @Albert_Rivera "Yo no veo enemigos en los que son de izquierdas o de derechas siendo yo de centro, veo compatriotas que pueden pensar distinto pero tenemos que darnos la mano en los asuntos importantes para España" @europapress</t>
  </si>
  <si>
    <t>https://m.europapress.es/nacional/noticia-albert-rivera-dice-izquierda-derecha-no-hay-enemigos-compatriotas-20181206113859.html</t>
  </si>
  <si>
    <t>Perfil oficial de @CsMadridCiudad en distrito de Carabanchel. También en Facebook: https://m.facebook.com/Ciudadanos-Cs-Madrid-Carabanchel-410913155768649/</t>
  </si>
  <si>
    <t>https://www.ciudadanos-cs.org/</t>
  </si>
  <si>
    <t>Francisco Morales</t>
  </si>
  <si>
    <t>Enhorabuena!! A los finalistas a los Premios Parlamentario 2018. @Albert_Rivera @CiudadanoVille @MelisaRguezCs @Lroldansu @GuillermoDiazCs @JavierNart</t>
  </si>
  <si>
    <t>https://pbs.twimg.com/media/DtzaBwaXQAAnC-C.jpg</t>
  </si>
  <si>
    <t>Ciudadano residente en Murcia. Licenciado en Psicología.</t>
  </si>
  <si>
    <t>Sergio Zapatilla</t>
  </si>
  <si>
    <t>Y señores ... esto es lo que apoya nuestro queridísimo @Albert_Rivera y su @CiudadanosCs putrefacto RT @_ju1_: Si este video donde cientos de menores de edad son humillados y vejados por miembros de la policia fuera de Cuba, estaría dando la vuelta al mundo y abriría los telediarios. Pero no, es la Francia macronista.</t>
  </si>
  <si>
    <t>cristianbonsoms</t>
  </si>
  <si>
    <t>La única diferencia es que uno propone las cosas tal como las piensa, y el otro las disfraza. Lo nunca contado de la ‘íntima’ amistad entre Albert Rivera y Santiago Abascal</t>
  </si>
  <si>
    <t>I allà on tu veus lo desert eixams de mons formiguegen. Jacint Verdaguer</t>
  </si>
  <si>
    <t>Me es indiferente cuantos followers tenga mientras me quede cerveza en la nevera.</t>
  </si>
  <si>
    <t>Cs Tenerife</t>
  </si>
  <si>
    <t>🆕 @Albert_Rivera pide dejar a un lado el "guerracivilismo de rojos y azules" 📰Puedes leerlo en @CanariasEnHora 👇</t>
  </si>
  <si>
    <t>¿Os acordáis de aquella campaña bestial para abrirle los ojos a los borregos sobre quien era C's y su líder Albert Rivera? Que sepáis que no sirvió de nada porque A3Media se encargó de tapar todo eso. Ahora está haciendo lo mismo con VOX.</t>
  </si>
  <si>
    <t>Santa Cruz de Tenerife, España</t>
  </si>
  <si>
    <t>Twitter Oficial de Cs en la Isla de Tenerife. Información de toda la isla y actividades de Cs.</t>
  </si>
  <si>
    <t>Obrero de Derechas</t>
  </si>
  <si>
    <t>#TiempodePactosARV Don Falangito Albert Rivera ya metía la cabeza en el culo de VOX, C,s son la misma mierda.</t>
  </si>
  <si>
    <t>https://pbs.twimg.com/media/Dt0NZLuW0AAvskF.jpg</t>
  </si>
  <si>
    <t>Didac Xavier Moreno</t>
  </si>
  <si>
    <t>Cs ganó las elecciones en Catalunya, y @Albert_Rivera no tuvo narices de presentar a su candidata a la investidura. En Andalucía quedan terceros, a 11 puntos del primero, y quiere la presidencia de la Junta. Ponedle el calificativo q queráis...</t>
  </si>
  <si>
    <t xml:space="preserve">Nueva España, </t>
  </si>
  <si>
    <t>liberal, y Cristo Fascista por Dios y por España. Del PP y C,s que son lo mismo para mí, gracias a ellos el trabajador vive Feliz.</t>
  </si>
  <si>
    <t>Socialista crítico. Pero socialista. Sin colorantes ni conservantes.</t>
  </si>
  <si>
    <t>Alguien lo va a denunciar a los tribunales o les seguimos riendo la gracia??? @vox_es @CiudadanosCs @PPopular @UPYD @Santi_ABASCAL @pablocasado_ @Albert_Rivera @rosadiezglez RT @Tonicanto1: El PSOE balear impone pasar un examen de catalán para ir a la universidad.</t>
  </si>
  <si>
    <t>https://twitter.com/tonicanto1/status/1070592172469170177</t>
  </si>
  <si>
    <t>https://pbs.twimg.com/media/DtuB5zSXcAEIju8.jpg</t>
  </si>
  <si>
    <t>Andrelo ⚡</t>
  </si>
  <si>
    <t>Ey @Pablo_Iglesias_ @pablocasado_ @Albert_Rivera @sanchezcastejon @KRLS @gabrielrufian ya podéis ejercer vuestro derecho de oposición a entrar en las bases ideológicas de la Ley de Protección de #Datos que TODOS votásteis en el Congreso:  #Stop1984</t>
  </si>
  <si>
    <t>http://libertadinformacion.cc/formulario-de-acceso-oposicion-y-supresion-de-datos-1/</t>
  </si>
  <si>
    <t>ℕ𝕚𝕙𝕚𝕝𝕚𝕤𝕥 ℂ𝕠𝕨𝕓𝕠𝕪</t>
  </si>
  <si>
    <t>( ha apoyado al psoe, a erc, a convergencia, a upyd y a Albert Rivera ) RT @BeatrizTalegon: Algunos defendemos siempre lo mismo. Otros, no.</t>
  </si>
  <si>
    <t>Dakar, Senegal</t>
  </si>
  <si>
    <t>"Viva usted ahora las preguntas. Quizá luego, poco a poco, sin darse cuenta, vivirá un día lejano entrando en la respuesta." Rilke</t>
  </si>
  <si>
    <t>http://www.pipasdecoco.com</t>
  </si>
  <si>
    <t>https://twitter.com/BeatrizTalegon/status/1070965058220580864</t>
  </si>
  <si>
    <t>https://pbs.twimg.com/media/DtzVCj0WkAAB_N3.jpg</t>
  </si>
  <si>
    <t>Barcelona -Sólheimasandur</t>
  </si>
  <si>
    <t>Influyentísimo y reconocidísmo fotógrafo. Madre soltera, padre solitario. Feo pero con los ojos verdes. Suelo caer mal.</t>
  </si>
  <si>
    <t>Carlos Navarro Rdgez</t>
  </si>
  <si>
    <t>Albert Rivera una vez más se meterá su chulería en el bolsillo! "El candidato es Juan Marín"!, da risa el farsante, verás como vota a PP y se calla la boca, si guana! @CiudadanosCs</t>
  </si>
  <si>
    <t>https://pbs.twimg.com/media/Dt0GwSHXcAAeGEm.jpg</t>
  </si>
  <si>
    <t>http://www.citizengo.org/hazteoir/pc/167099-al-psoe-ni-agua-sr-rivera?tc=tw&amp;tcid=52564717</t>
  </si>
  <si>
    <t>.@Albert_Rivera: No permita que los corruptos del @PSOE sigan gobernando #Andalucía. Sea generoso y únase al @PPopular y a @vox_es para echarlos de una vez. Si no lo hace, no se lo perdonaré. @Cs_Andalucia, #FueraPSOE. FIRMA:</t>
  </si>
  <si>
    <t>http://www.citizengo.org/hazteoir/pc/167099-al-psoe-ni-agua-sr-rivera?tc=tw&amp;tcid=52557687</t>
  </si>
  <si>
    <t>Triple_FFF</t>
  </si>
  <si>
    <t>VAYAN SABIÉNDOLO: Lo nunca contado de la ‘íntima’ amistad entre @Albert_Rivera y @Santi_ABASCAL via @El_Plural</t>
  </si>
  <si>
    <t>Frescor Fraterno Facilitado</t>
  </si>
  <si>
    <t>Sergio Sans</t>
  </si>
  <si>
    <t>La franquicia da resultados antidemocraticos dictatoriales y autoritarios en toda América. @Albert_Rivera @CasaReal @pablocasado @PPopular @jairbolsonaro @CiudadanosCs @vox_es</t>
  </si>
  <si>
    <t>TH❂RRANSKI ◥</t>
  </si>
  <si>
    <t>Mucho “analista” político afirma que el nuestro era un país atípico hasta hace unos días, porque no había un partido de extrema derecha con representación parlamentaria. Claro, Rafael Hernando, Casado, Albert Rivera, Girauta, Toni Cantó.... son de centro.</t>
  </si>
  <si>
    <t>https://www.eldiario.es/politica/Iglesias-Morales-Palacio-Gobierno-Bolivia_0_706580280.html</t>
  </si>
  <si>
    <t>☄️</t>
  </si>
  <si>
    <t>§ 3: ❝IURIS PRAECEPTA SUNT HAEC: HONESTE VIVERE, ALTERUM NON LAEDERE, SUUM CUIQUE TRIBUERE❞. INSTITUTA I.1.</t>
  </si>
  <si>
    <t>Chongo decia:Siembra Caos, Riega Anarquía Cosechas Comunismo.</t>
  </si>
  <si>
    <t>Cs Motilla del Palancar</t>
  </si>
  <si>
    <t>☀️ #BuenosDías @Albert_Rivera "Gracias a nuestra Constitución pasamos de ser enemigos a compatriotas" 📝</t>
  </si>
  <si>
    <t>https://www.ciudadanos-cs.org/prensa/rivera-gracias-a-nuestra-constitucion-pasamos-de-ser-enemigos-a-compatriotas/11144</t>
  </si>
  <si>
    <t>https://pbs.twimg.com/media/DtzKUpCWwAE7YcQ.jpg</t>
  </si>
  <si>
    <t>No Podemos ni PsoE , la UE advierte a C's y PP sobre recibir el apoyo de VOX, no quieren que se facilite la entrada a las instituciones de la extrema derecha! Tú solo recuerda los discursos del "constitucionalista" Albert Rivera! Farsa! #fascismolegalverguenzanacional</t>
  </si>
  <si>
    <t>Motilla del Palancar, España</t>
  </si>
  <si>
    <t>Perfil Oficial. Partido político progresista, surgido de un movimiento de ciudadanos que quieren regenerar la política española. ¡Síguenos también en Facebook!</t>
  </si>
  <si>
    <t>http://cuenca.ciudadanos-cs.org</t>
  </si>
  <si>
    <t>JCCruz</t>
  </si>
  <si>
    <t>Pablo Casado y Albert Rivera ayer celebraban el 40 aniversario de la Constitución y hoy negocian como romperla con Santiago Abascal, líder de ultraderecha anticonstitucionalista y antieuropea</t>
  </si>
  <si>
    <t>Diario Balear</t>
  </si>
  <si>
    <t>👉🏻El PSOE provoca que los españoles no confíen en las instituciones para resolver los problemas  @ERIKEO5555 @angelmigeva @Tonicanto1 @Albert_Rivera @Santi_ABASCAL @gsampolfer @MMContesti @AzraVox @paatri_guerrero @AntoniCamps @xpericay</t>
  </si>
  <si>
    <t xml:space="preserve">Portugalete, Euskadi, España </t>
  </si>
  <si>
    <t>Mi patria empieza en mi y acaba en ninguna parte.</t>
  </si>
  <si>
    <t>https://www.diaribalear.es/el-psoe-provoca-que-los-espanoles-no-confien-en-las-instituciones-para-resolver-los-problemas/</t>
  </si>
  <si>
    <t>Palma de Mallorca</t>
  </si>
  <si>
    <t>Somos diferentes, somos de aquí</t>
  </si>
  <si>
    <t>https://www.diaribalear.es</t>
  </si>
  <si>
    <t>☀️☕️ ¡Buenos días! 👉 Ayer se cumplieron #40AñosDeConstitución y @Albert_Rivera estuvo en @rne hablando sobre ella. 🗣 "Antes de reformar la Constitución, lo más importante es aplicarla y defenderla en toda España". 📲 ¡Te dejamos su intervención aquí !</t>
  </si>
  <si>
    <t>https://www.youtube.com/watch?v=kkG_dWoUpyc&amp;feature=youtu.be</t>
  </si>
  <si>
    <t>pic.twitter.com/23HhtVGbAM</t>
  </si>
  <si>
    <t>manu fa</t>
  </si>
  <si>
    <t>argentina</t>
  </si>
  <si>
    <t>http://oficios2011.blogspot.com.ar</t>
  </si>
  <si>
    <t>Cs Europa 🇪🇺</t>
  </si>
  <si>
    <t>🇪🇺@Albert_Rivera explica en @larazon_es por qué debemos cuidar nuestra Constitución: 📰 #DíaDeLaConstitución. #40AñosDeConstitución</t>
  </si>
  <si>
    <t>https://pbs.twimg.com/media/DtzE7QJWoAMPXrv.jpg</t>
  </si>
  <si>
    <t>Bruselas/Estrasburgo</t>
  </si>
  <si>
    <t>Perfil oficial de @CiudadanosCs, en Parlamento Europeo. @AldeParty • @aldeGroup • https://www.facebook.com/CiudadanosEuropa/ Tuits en 🇫🇷🇬🇧🇩🇪🇮🇹🇪🇸</t>
  </si>
  <si>
    <t>http://cseuropa.ciudadanos-cs.org/</t>
  </si>
  <si>
    <t>Constitución Española Todos los españoles tienen derecho a disfrutar de una vivienda digna y adecuada. Se escribe así verdad @Pablo_Iglesias_ @pablocasado_ @Albert_Rivera @sanchezcastejon ? Via @eljueves</t>
  </si>
  <si>
    <t>https://pbs.twimg.com/media/DtzCJo3XcAAmLqc.jpg</t>
  </si>
  <si>
    <t>Gustavo Garcia</t>
  </si>
  <si>
    <t>Politólogo, comunicación política, era consultor, volveré. Ahora me dejo la vida en @MADRID. Yo que sé, hago cosas raras y además fumo puros, sí. Hablemos.</t>
  </si>
  <si>
    <t>Manuel García Bofill</t>
  </si>
  <si>
    <t>Carrizosa alerta que 'se ha convertido en una costumbre que los radicales acosen a los que celebran la Constitución'  @Albert_Rivera @CsAlicante_C @CsSevillaSur @CsLesCorts @cultura_cs @CSciudadanosCs @CSciudadanosCs @CsBarcelonesNor @CsZaragoza_ @CsMalaga</t>
  </si>
  <si>
    <t>https://bit.ly/2E5h4QN</t>
  </si>
  <si>
    <t>https://pbs.twimg.com/media/DtzBgW1XQAAVqR3.jpg</t>
  </si>
  <si>
    <t>Juan Carlos Monedero</t>
  </si>
  <si>
    <t>El @PPopular de Casado, @CiudadanosCs de Rivera, @vox_es: tres patas del proyecto de refundación de la derecha auspiciado por Aznar. Y Aznar es una ficha de Murdoch y Bannon. Lo que pone a la derecha española al servicio de la derecha de EEUU. Patriotas...</t>
  </si>
  <si>
    <t>Rivera: 'Gracias a nuestra Constitución pasamos de ser enemigos a compatriotas'  @Albert_Rivera @CsAlicante_C @CsSevillaSur @CsLesCorts @cultura_cs @CSciudadanosCs @CSciudadanosCs @CsBarcelonesNor @CsZaragoza_ @CsMalaga</t>
  </si>
  <si>
    <t>https://bit.ly/2QC9Ev8</t>
  </si>
  <si>
    <t>https://pbs.twimg.com/media/DtzBIh9XcAAYNHe.jpg</t>
  </si>
  <si>
    <t>Profesor de Ciencia Política (Universidad Complutense de Madrid). Venimos del 15M y Podemos. Crecemos. Vivimos @enlafronteratv / http://www.juancarlosmonedero.org</t>
  </si>
  <si>
    <t>https://www.publico.es/publico-tv/en-la-frontera</t>
  </si>
  <si>
    <t>🖋 No te pierdas la tribuna de @Albert_Rivera que ha escrito para @larazon_es sobre la Constitución y versa sobre la necesidad de que los poderes públicos garanticen su aplicación en toda su extensión y en todos los lugares del país 👉🏻 #ActuadlidadCs</t>
  </si>
  <si>
    <t>https://bit.ly/2QlOxhv</t>
  </si>
  <si>
    <t>https://pbs.twimg.com/media/Dty_Z7bWwAARjCW.jpg</t>
  </si>
  <si>
    <t>Marcos Jiménez</t>
  </si>
  <si>
    <t>No solo hay huevos contra Susana Díaz, también contra Albert Rivera. RT @AndaluciaxSi: El domingo échale huevos/ovarios y #VotaAxSí los últimos 3 años Ciudadanos y Albert Rivera ha propiciado el gobierno del PSOE en Andalucía y del PP en Madrid. Sabes algo de las cañas de pescar? Nos las han quitado para dárselas a otros!! #AndalucíaSí #EleccionesAndaluzas</t>
  </si>
  <si>
    <t>https://twitter.com/AndaluciaxSi/status/1066726312700727296</t>
  </si>
  <si>
    <t>pic.twitter.com/kgu1P7vYR3</t>
  </si>
  <si>
    <t>Málaga, España</t>
  </si>
  <si>
    <t>Ingeniero informático 💻 | Amante de los videojuegos 🕹️ | #NASCAR 🏎️ | #IndyCar 🏎️ | #MotoGP 🏍️ | #Tenis 🎾 | #RealMadrid ⚽️ | #GiantsPride 🏈 | #PinstripePride ⚾️</t>
  </si>
  <si>
    <t>Trendinalia España</t>
  </si>
  <si>
    <t>Los 20 tuits más RTs de @krls @gabrielrufian @gallifantes @jorditurull @marianorajoy @joninarritu @miriamnoguerasm @dbravo @agarzon @quimforn @tonicanto1 @joseprull @albert_rivera @santi_abascal @rosadiezglez @quimtorraipla el jueves 6 de diciembre</t>
  </si>
  <si>
    <t>https://twitter.com/trendinaliaES/timelines/1070923028555431936</t>
  </si>
  <si>
    <t>Las tendencias de Twitter, Google y YouTube en la geografía española — #trndnl</t>
  </si>
  <si>
    <t>http://trendinalia.com/twitter-trending-topics/spain/</t>
  </si>
  <si>
    <t>LoveTheWorld</t>
  </si>
  <si>
    <t>#Stop1984 #NoLOPDGDD #NoConMisDatos Que os quede MUY CLARITO:@PSOE @PPopular @CiudadanosCs @ahorapodemos @iunida @Equo @PartidoPACMA @sanchezcastejon @pablocasado_ @Pablo_Iglesias_ @ierrejon @pnique @TeresaRodr_ @agarzon @Albert_Rivera @Europarl_ES @HablamosdEuropa @ONU_derechos</t>
  </si>
  <si>
    <t>Cuido derechosLGBTI&amp;el mundo, cualquier injusticia poniendo mi granito de arena. Love taking care ofLGBTIrights&amp;the world,fighting any injustice doing one´s bit</t>
  </si>
  <si>
    <t>Ciudadanos de segunda</t>
  </si>
  <si>
    <t>"Si el PSOE, Podemos y los golpistas catalanes pretenden utilizar a VOX como coartada para sus fechorías agitando el espantajo de una amenaza imaginaria, @pablocasado_ y @Albert_Rivera no han de sumarse a esta torticera maniobra..."</t>
  </si>
  <si>
    <t>https://gaceta.es/opinion/extremismos-vox-20181205-1244/</t>
  </si>
  <si>
    <t>Apoyo incondicional a los que dan todo por nada #StopSuicidiosGC #NoCPM http://nomasilencio.es #45sindespidos #red #YoSoyDeSonrisas @jusapol #EquiparacionYa</t>
  </si>
  <si>
    <t>Tonino Guitian</t>
  </si>
  <si>
    <t>Los que tengáis hijos e hijas y no sepáis dónde llevarlos estas navidades, os convoco a mi nuevo espectáculo: "@Albert_Rivera sobre hielo y las infantas Disney". Aforo reducido.</t>
  </si>
  <si>
    <t>Valencia-Madrid-Barcelona</t>
  </si>
  <si>
    <t>Humor. CQC .Crónica, mundo bipolar Teatro. Sátira. Empleado del yo RadioTV Literatura. Gastronomía. Libros. Francés. Galicia. Centrocampista de la Nada</t>
  </si>
  <si>
    <t>http://www.facebook.com/ToninoGuitian</t>
  </si>
  <si>
    <t>PERIFÉRICA🔴LABS</t>
  </si>
  <si>
    <t>La policía de Macrom, al que llamaban el Albert Rivera francés, trata así a los adolescentes que protestan contra sus políticas.</t>
  </si>
  <si>
    <t>https://www.facebook.com/567778703298149/posts/1980126978729974/</t>
  </si>
  <si>
    <t>Península Ibérica.</t>
  </si>
  <si>
    <t>INFORMACIÓN Y CULTURA CONTRAHEGEMÓNICA.</t>
  </si>
  <si>
    <t>Franciscoalbacarmona@Gmail</t>
  </si>
  <si>
    <t>Hola @Albert_Rivera , lo tuyo de de juzgado de guardia. ..imposible ser más imbécil y miserable que tú.</t>
  </si>
  <si>
    <t>Hoy por hoy</t>
  </si>
  <si>
    <t>Si pensáis en Pablo Casado, Gabriel Rufián, Santiago Abascal, Albert Rivera, Pedro Sánchez o Pablo Iglesias... ¿De verdad creéis que este es un buen momento para reformar la Constitución? #LaPreguntaDelDía</t>
  </si>
  <si>
    <t>http://m.xcatalunya.cat/noticies/detail.php?id=41240</t>
  </si>
  <si>
    <t>Cadena SER</t>
  </si>
  <si>
    <t>El programa líder de la radio española. De lunes a viernes, de 6:00 a 12:20h, en @La_SER. Dirigido por @PepaBueno y Toni @GarridoCoronado.</t>
  </si>
  <si>
    <t>http://www.hoyporhoy.es</t>
  </si>
  <si>
    <t>Entonces -sonrió el sabio- Si no es verdadero, ni bueno, ni necesario… sepultémoslo en el olvido…”</t>
  </si>
  <si>
    <t>Guaje Salvaje</t>
  </si>
  <si>
    <t>Curioso que los mismos que acusan a Albert Rivera de drogadicto, y hasta hacen mofa y escarnio de tal difamación en TV3, pongan el grito en el cielo y denuncien que se haya dicho lo mismo de Oriol Junqueras. Ellos tienen carta blanca para todo.</t>
  </si>
  <si>
    <t>Monnу💜</t>
  </si>
  <si>
    <t>https://www.larepublica.cat/denuncien-una-monitora-per-usar-una-foto-de-junqueras-per-mostrar-els-efectes-de-les-drogues/</t>
  </si>
  <si>
    <t>Qué barbaridad!!! @Albert_Rivera RT @VictorGonz54: Esto está haciendo Macron, sí, ese "referente" de Falangito Rivera, con ESTUDIANTES de secundaria, hoy en Mantes-la-Jolie🇫🇷</t>
  </si>
  <si>
    <t>Otro miembro anónimo de la mayoría silenciosa. Un catalán no indepe que no acepta ser un ciudadano de segunda</t>
  </si>
  <si>
    <t>Moralzarzal, Madrid, España</t>
  </si>
  <si>
    <t>Mujer trabajadora e indignada. Ilusionada con el proyecto de @ahorapodemos y Pablo Iglesias, quien será nuestro mejor Presidente.</t>
  </si>
  <si>
    <t>Inés M Villegas</t>
  </si>
  <si>
    <t>Pero tú crees que @Albert_Rivera se ha enterado 😜 👇 RT @pedroblancoa: Pero qué perverso es Pedro Sánchez que ha obligado a Ciudadanos a pactar con los terribles independentistas de ERC y JxCAT para repartirse los cargos de la corporación catalana de medios audiovisuales...</t>
  </si>
  <si>
    <t>https://twitter.com/pedroblancoa/status/1070349230739464192</t>
  </si>
  <si>
    <t>Madrid - El Rompido</t>
  </si>
  <si>
    <t>Maneras de vivir!</t>
  </si>
  <si>
    <t>Chus </t>
  </si>
  <si>
    <t>Vamos @Albert_Rivera llega a un acuerdo con @PPopular o vas a desparecer, ellos son los segundos, tú el tercero, vas a dejar que por fin haya un cambio en Andalucía?? Por supuesto con el apoyo de @vox_es que para eso 400.000 personas han votado un cambio para Andalucía. #VOX</t>
  </si>
  <si>
    <t>Spain - Madrid</t>
  </si>
  <si>
    <t>That place where dreams come true Madrileños y Muy Españoles sin complejos 🇪🇸🇪🇸#VOX @vox_es</t>
  </si>
  <si>
    <t>antonio morilla</t>
  </si>
  <si>
    <t>#vox mitando la #democracia todos los #Fascistas españoles @Santi_ABASCAL @Albert_Rivera @pablocasado_ los mismos #machista con distintos collares #SiSePuede parar a la #ultraderecha</t>
  </si>
  <si>
    <t>https://pbs.twimg.com/media/DtxhmaiWoAATUUf.jpg</t>
  </si>
  <si>
    <t>Comunista de Badalona, Sindicalista de Cobas y activista animalista</t>
  </si>
  <si>
    <t>Nicolás Bote</t>
  </si>
  <si>
    <t>Pablo Casado y Albert Rivera van a pactar con la ultraderecha, pero los argumentos con lo que intenta engañarnos ofenden a nuestra inteligencia.</t>
  </si>
  <si>
    <t>-Señor Abascal (VOX), una canción: - "A mí me gusta la gasoliiiinaaaa"... - ¿Reguetón? - Eso es mierda panchita. La gasolina es para quemar moros, maricones y feministas. Ese es el PP ensamiento de VOX, el partido con el q quieren gobernar @pablocasado_ y @Albert_Rivera.</t>
  </si>
  <si>
    <t>Plasencia, Extremadura, Spain</t>
  </si>
  <si>
    <t>La verdadera libertad no consiste en poder decir lo que se piensa, sino en poder pensar lo que se dice. http://facebook.com/nicolas.botesa…</t>
  </si>
  <si>
    <t>Didac</t>
  </si>
  <si>
    <t>👉Me apunto a la propuesta de mi amigo @ValoresBaleares: Se debe proteger más a Felipe VI: “Somos leales al Rey! Ya que su labor es extraordinaria”. Y tú qué? @mosmovem @SCBalear @CiudadanoJRoig @ANDRES_CANO42 @AbeInfanzon @Santi_ABASCAL @Albert_Rivera @pablocasado_ @1ACUARIOA</t>
  </si>
  <si>
    <t>https://pbs.twimg.com/media/DtxaQ2tWwAAtvV_.jpg</t>
  </si>
  <si>
    <t>ABRIENDO DIÁLOGOS</t>
  </si>
  <si>
    <t>[L A]Ville</t>
  </si>
  <si>
    <t>Ahora con la tematica de la nieve vendría de lujo una skin de Albert Rivera @FortniteGame</t>
  </si>
  <si>
    <t>Aura</t>
  </si>
  <si>
    <t>#PSUV es hambre #MisiónNavidad #Pernil #España #México #ChavismoLaPesteDelSigloXXI @tovarr @AndresVelasqz @DelgadoAntonioM @elcitizen @Yusnaby @Albert_Rivera @abc_es @el_pais @bbcmundo RT @Watcher_Ven: #6Dic / La CVG puso una flota de buses para llevar trabajadores de las Empresas Básicas a Upata para el cierre de campaña del Psuv. El pago será 2Kgr de pernil / #Guayana Puerto Ordaz</t>
  </si>
  <si>
    <t>Tarragona, España</t>
  </si>
  <si>
    <t>Player competitive Clubes pro 🎮 {PS4} 1er Capitán de @LotosAzules. Nastic 1886</t>
  </si>
  <si>
    <t>https://twitter.com/Watcher_Ven/status/1070726946458357763</t>
  </si>
  <si>
    <t>https://pbs.twimg.com/media/Dtv7qsaWoAATPfh.jpg</t>
  </si>
  <si>
    <t>Hay una fuerza motriz más poderosa que el vapor, la electricidad y la energía atómica: la voluntad! Albert Einstein</t>
  </si>
  <si>
    <t>Miguel Braña</t>
  </si>
  <si>
    <t>Sonríe para la foto @Albert_Rivera</t>
  </si>
  <si>
    <t>https://www.independent.co.uk/news/world/europe/andalusia-election-results-far-right-vox-spain-citizens-psoe-a8664496.html</t>
  </si>
  <si>
    <t>Worldwide 📍</t>
  </si>
  <si>
    <t>Dulce y árido. Digital Creative Cuentacuentos. Mucho no te escucho, así es mucho más chachi.</t>
  </si>
  <si>
    <t>Manu</t>
  </si>
  <si>
    <t>No se si este tweet llegará a @Albert_Rivera pero tengo que decir una cosa. Os di mi voto varias veces porque confiaba en vosotros pero sinceramente como formeis gobierno con el apoyo de Vox mi confianza y mi respeto lo habéis perdido para siempre.</t>
  </si>
  <si>
    <t>👀👩🏻‍💻</t>
  </si>
  <si>
    <t>mateomo68</t>
  </si>
  <si>
    <t>http://www.citizengo.org/hazteoir/pc/167099-al-psoe-ni-agua-sr-rivera?tc=tw&amp;tcid=52563053</t>
  </si>
  <si>
    <t>Católico. Ingeniero Agrónomo. Melómano. Castellar - Jaén - ESPAÑA</t>
  </si>
  <si>
    <t>http://www.youtube.com/user/mateomo</t>
  </si>
  <si>
    <t>Olga noblejas</t>
  </si>
  <si>
    <t>Entre los dos habéis desfraudado a Andalucía menudos mentirosos. @okdiario @Albert_Rivera de Marin, no me sorprende, pero del Riveira no me lo esperaba. Te pasará factura. RT @AntoniolaLEY: RIVERITA, veleta, ERES un TRAIDOR a los ANDALUCES. El serio toque de atención de Herrera a Rivera por Andalucía</t>
  </si>
  <si>
    <t>https://twitter.com/antoniolaley/status/1070462331396722691
https://www.cope.es/n/304364</t>
  </si>
  <si>
    <t>Indignada con la Justicia y con la Gestión de los políticos de este país</t>
  </si>
  <si>
    <t>María Duplá</t>
  </si>
  <si>
    <t>C's y @Albert_Rivera lamentará haber marcado una línea insalvable con VOX. Haga lo que haga, insultará a su electorado, y lo sabe. Pero si se alía con PSOE y Podemos se quedará en los huesos en las Generales y encumbrará a Pablo Casado. Lo que haga será crucial para su futuro.</t>
  </si>
  <si>
    <t>Barcelona, España</t>
  </si>
  <si>
    <t>Estudiosa de la lógica progre; intento acercarla al público de derechas para que la entienda mejor. Teleco. Liberal. La verdad sobre la ideología, aunque duela.</t>
  </si>
  <si>
    <t>Manuel Valls y Albert Rivera han coincidido en un acto de homenaje a la Constitución, a la que C's exige respetar en Cataluña pero no en Andalucía, Valls censura la opción de pactos con la extrema derecha y el populismo de VOX, pero Rivera tiene prisa por pisar moqueta.</t>
  </si>
  <si>
    <t>Jubeir Cristina</t>
  </si>
  <si>
    <t>Presidente del gobierno✌🏻 @Santi_ABASCAL ECLOSIÓN @vox_es 💫 Hay esperanza Abascal es de esas personas que cumplirá con todo su programa y con cada cosa que haya dicho que hará No lo dudo Partidos emergente sin pasado Piensa @Albert_Rivera El PP no está regenerado,es continuidad RT @sterlingmrch: La vida de Santiago Abascal en su País Vasco natal: amenazas de muerte de ETA, su negocio familiar quemado en varias ocasiones y cartas de extorsión a su abuelo. ¿Qué nos apostamos a que esto no sale en los medios?</t>
  </si>
  <si>
    <t>https://twitter.com/sterlingmrch/status/1070681768687210496</t>
  </si>
  <si>
    <t>pic.twitter.com/MdfwvNSZyy</t>
  </si>
  <si>
    <t>@DIKIssTV @DMAX_es @CineTRECEtv @ELCadcabelTRECE @NatGeoEsp @abc_es @TDTNeox @AdelAljubeir @CanaldeHistoria @Frank_Cuesta @vox_es (TORPE CON TECLADO, sorry)</t>
  </si>
  <si>
    <t>Xiscø Canø</t>
  </si>
  <si>
    <t>Como “seguir defendiendo los valores constitucionales” y sacar pecho de las libertades alcanzadas en España y al mismo tiempo plantearse pactar con Vox @CiudadanosCs @Albert_Rivera @ALDEParty RT @carrizosacarlos: Hoy celebramos el 40 aniversario de la Constitución que ha garantizado los derechos y las libertades de todos los españoles. Estas décadas han sido de prosperidad y avance de las libertades en España y vamos a seguir defendiendo sus valores constitucionales #40AñosDeConstitución</t>
  </si>
  <si>
    <t>https://twitter.com/carrizosacarlos/status/1070635418486489088</t>
  </si>
  <si>
    <t>pic.twitter.com/tNkrg4prna</t>
  </si>
  <si>
    <t>Puedes buscar estas declaraciones de Albert Rivera por donde quieras, no las encontrarás. Es un nuevo invento de prensa separatista para demonizar a quien no comulga con ellos. #adoctrinados</t>
  </si>
  <si>
    <t>UC3M Madrid ~ Mallorca 1998</t>
  </si>
  <si>
    <t>https://pbs.twimg.com/media/DtzwQffW4AAlrGz.jpg</t>
  </si>
  <si>
    <t>DISIDENCIA ESPAÑOLA</t>
  </si>
  <si>
    <t>Le están preparando a Macron una emboscada para el Sábado que no se yo si no acabará pidiéndole asilo a su amiguito @Albert_Rivera en @CiudadanosCs RT @europapress: 89.000 miembros de las fuerzas de seguridad se desplegarán por toda Francia el sábado, 8.000 de ellos en París, ante las nuevas protestas de los 'Chalecos amarillos'</t>
  </si>
  <si>
    <t>https://twitter.com/europapress/status/1070781177555021824
https://www.europapress.es/internacional/noticia-francia-prepara-casi-90000-policias-blindar-pais-nuevas-manifestaciones-sabado-20181206211927.html</t>
  </si>
  <si>
    <t>Murcia, España</t>
  </si>
  <si>
    <t>Dios, Patria y Familia.</t>
  </si>
  <si>
    <t>MFGasset</t>
  </si>
  <si>
    <t>Mientras pasa esto @sanchezcastejon @Albert_Rivera @pablocasado_ siguen permitiendo que podemos los separatas campen a sus anchas , empezó en Cataluña y ya está pasando en Andalucía seguid así</t>
  </si>
  <si>
    <t>pic.twitter.com/V6iK4Evotz</t>
  </si>
  <si>
    <t xml:space="preserve">España </t>
  </si>
  <si>
    <t>Española hasta la médula,católica ...sino te gusta ya sabes ...</t>
  </si>
  <si>
    <t>MagdaPao</t>
  </si>
  <si>
    <t>Pedro J. y el Español desde hace tiempo apostaron por @Albert_Rivera y de irresponsabilidad van bien servidos. A ver como termina lo de Andalucía. RT @Santi_ABASCAL: Una irresponsabilidad de @elespanolcom haciéndole el juego a Podemos, a Bildu y los CDR, que pretenden deshumanizarnos para atacarnos impúnemente. Una verdadera pena @pedroj_ramirez</t>
  </si>
  <si>
    <t>https://twitter.com/santi_abascal/status/1070802202787241984
https://twitter.com/FrayJosepho/status/1070786718683619328</t>
  </si>
  <si>
    <t>Transición y Constitución como referentes. ESPAÑA.</t>
  </si>
  <si>
    <t>Paul Craig Roberts: "Washington cometió un error que podría ser fatal para la humanidad por su arrogancia" @UEmadrid @CasaReal @sanchezcastejon @Pablo_Iglesias_ @Albert_Rivera @pablocasado_  via @ActualidadRT</t>
  </si>
  <si>
    <t>https://es.rt.com/3qtp</t>
  </si>
  <si>
    <t>azv566</t>
  </si>
  <si>
    <t>Ay @Albert_Rivera. Te mueves más que los precios. Eres el Niño de los bandazos. RT @Agroscam: ¿Pero te lo creíste cuando lo dijo?. A ver si somos menos incautos. Además una de las cosas que más reconocida tiene Rivera es su variabilidad. Se adapta o mejor se acopla a lo que más le convenga en cada momento</t>
  </si>
  <si>
    <t>https://twitter.com/agroscam/status/1070663940265402368
https://twitter.com/miguel_delarosa/status/1070432739042750464</t>
  </si>
  <si>
    <t>Sanidad,justicia,educacion y dependencia publicas universales. Todo lo instauró el PSOE. Ahora volvemos al camino, con Pedro.</t>
  </si>
  <si>
    <t>Alex .G</t>
  </si>
  <si>
    <t>Digan lo que digan Tener que ver estas situaciones en 2018 no es normal ! CONSULTO @CristinaSegui_ @InesArrimadas @Albert_Rivera @sanchezcastejon , piensa guardar silencio ? Como pide ahora dejar gobernar la lista más votada en Andalucía, porque no hizo lo mismo en Cataluña RT @arturelpayaso2: Radicales independentistas, los amigos de Quim Torra y Puigdemont, agreden salvajemente a Álvaro de Marichalar, quien tuvo que huir para no ser linchado. Cataluña está en guerra, y quien no lo vea, que se lo haga mirar.</t>
  </si>
  <si>
    <t>https://twitter.com/arturelpayaso2/status/1070703901127651329</t>
  </si>
  <si>
    <t>pic.twitter.com/20yF6WPkHy</t>
  </si>
  <si>
    <t>VLC</t>
  </si>
  <si>
    <t>#NoTengoWhatsapp tampoco lo echo de menos !</t>
  </si>
  <si>
    <t>Roberto García</t>
  </si>
  <si>
    <t>¿Dudaba alguien de que @CiudadanosCs es un partido de centro? 👉Esto sólo es capaz de decirlo un verdadero hombre de Estado y un futuro presidente del Gobierno, se llama @Albert_Rivera #40añosdeConstitución</t>
  </si>
  <si>
    <t>José Domingo Alonso socas</t>
  </si>
  <si>
    <t>🗞 Albert Rivera pide dejar a un lado el "guerracivilismo de rojos y azules" (Canarias en Hora) 📲</t>
  </si>
  <si>
    <t>https://pbs.twimg.com/media/DtxBD1HWoAA8YH1.jpg</t>
  </si>
  <si>
    <t>Amante y disfrutador del buen comer y del buen beber en grata compañía. Enamorado de unos ojos sin igual y con cuatro grandes razones para luchar cada día.</t>
  </si>
  <si>
    <t>Si esto es cierto @Albert_Rivera , mi enhorabuena por una acertada decisión @CiudadanosCs @InesArrimadas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</si>
  <si>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Concejal del ayuntamiento de Icod de los Vinos, Coordinar Insular de Tenerife, Empresario.</t>
  </si>
  <si>
    <t>https://twitter.com/albert_rivera/status/1070318510604210176</t>
  </si>
  <si>
    <t>https://pbs.twimg.com/media/Dtp_vkxXgAEBPCR.jpg</t>
  </si>
  <si>
    <t>Inmaculada</t>
  </si>
  <si>
    <t>Ciertamente @Albert_Rivera Te creemos más inteligente que pactar con el diablo. Sería tu tumba política. Se te ha votado para alejar a esta degenerada y turbia izda de la política e instituciones Si ahora que te votan para cambio caes.Pudrete en su mierda</t>
  </si>
  <si>
    <t>https://okdiario.com/espana/2018/12/05/iglesias-plantea-ciudadanos-que-ponga-encima-mesa-acuerdo-andalucia-3430367/amp?__twitter_impression=true</t>
  </si>
  <si>
    <t>ESPAÑOLA</t>
  </si>
  <si>
    <t>Seyker 🏳️|Quim Navarro</t>
  </si>
  <si>
    <t>"Que no se hable de sillones" @Albert_Rivera 26 de junio de 2016 @CiudadanosCs año 2018</t>
  </si>
  <si>
    <t>https://www.vozpopuli.com/politica/ciudadanos-presidente-moreno-bonilla-coalicion-andalucia_0_1196581452.html</t>
  </si>
  <si>
    <t>Sin puntos de vista discrepantes no hay debate, sin crítica no hay mejora y sin respeto a la diversidad no hay democracia.</t>
  </si>
  <si>
    <t>https://www.facebook.com/Seyker</t>
  </si>
  <si>
    <t>Cs Asturias</t>
  </si>
  <si>
    <t>📽 @Albert_Rivera "Yo apelo a la organización de los moderados; no podemos volver a dejar España en la lógica de los rojos y los azules. España es un gran país, no podemos dejar que lo destruyan los extremos" #40añosdeConstitución</t>
  </si>
  <si>
    <t>pic.twitter.com/FE0Z7wkRrE</t>
  </si>
  <si>
    <t>Perfil oficial de Ciudadanos Asturias sede.asturias@ciudadanos-cs.org</t>
  </si>
  <si>
    <t>"España boxea diplomáticamente por debajo de su peso real en el exterior" @CasaReal @sanchezcastejon @Albert_Rivera @Pablo_Iglesias_ @pablocasado_  vía @elmundoes</t>
  </si>
  <si>
    <t>https://www.elmundo.es/opinion/2018/06/16/5b23e08dca474195358b4672.html</t>
  </si>
  <si>
    <t>Cs Castelldefels</t>
  </si>
  <si>
    <t>🍊 Ciudadanos no va a pactar con el PSOE, lo hemos dejado claro. 🍊 Albert Rivera compareció ante los medios para decirlo, lean el primer párrafo de la imagen: El PSOE debe de ir a la oposición #Castelldefels 💪🍊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</si>
  <si>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https://twitter.com/Albert_Rivera/status/1070318510604210176</t>
  </si>
  <si>
    <t>LoboGalego🌰</t>
  </si>
  <si>
    <t>Ola @Albert_Rivera a ver se condenas tamén esta agresión. RT @galizanova: ⚠️Denunciamos unha nova agresión fascista en Pontevedra, contra un militante de Galiza Nova. Contra o fascismo españolista construamos a República Galega!✊ #GZAntifascista #GalizaNación +Info:</t>
  </si>
  <si>
    <t>Castelldefels</t>
  </si>
  <si>
    <t>Perfil oficial de Ciutadans Castelldefels. Regenerando la política local, trabajando para el ciudadano. Contáctanos en castelldefels@ciudadanos-cs.org</t>
  </si>
  <si>
    <t>http://castelldefels.ciudadanos-cs.org/</t>
  </si>
  <si>
    <t>https://twitter.com/galizanova/status/1070758303649673217
http://galizanova.gal/denunciamos-unha-nova-agresion-fascista-en-pontevedra/</t>
  </si>
  <si>
    <t>Galicia, España</t>
  </si>
  <si>
    <t>Resistindo a extinción. Ecoloxía. Activismo. Galego.</t>
  </si>
  <si>
    <t>Batman doctorando🎗Los Borbones son unos ladrones</t>
  </si>
  <si>
    <t>Felipe VI después de la fiesta con Albert Rivera "Nuestra democracia es firme y consolidada; no tiene vuelta atrás"</t>
  </si>
  <si>
    <t>Maggik147</t>
  </si>
  <si>
    <t>Hola @vox_es @CiudadanosCs @PPopular @Santi_ABASCAL @pablocasado_ @Albert_Rivera @FNFFranco 🤣🤣🤣🤣 RT @poloniatv3: Franco és la Rosalia del feixisme. #PolòniaTV3</t>
  </si>
  <si>
    <t>https://www.huffingtonpost.es/2018/12/06/felipe-vi-nuestra-democracia-es-firme-y-consolidada-no-tiene-vuelta-atras_a_23610482/?ncid=other_twitter_cooo9wqtham&amp;utm_campaign=share_twitter</t>
  </si>
  <si>
    <t>https://twitter.com/poloniatv3/status/1070794599474585600</t>
  </si>
  <si>
    <t>pic.twitter.com/5VAnVc6Tfu</t>
  </si>
  <si>
    <t>Terrassa, Espanya</t>
  </si>
  <si>
    <t>Sant Esteve de les Roures</t>
  </si>
  <si>
    <t>No tengo un master en URJC, pero teniendo un capital suficiente y un laboratorio adecuado podria ser Batman. Sheldon Cooper🖖</t>
  </si>
  <si>
    <t>Pizpireta</t>
  </si>
  <si>
    <t>Hasta la saciedad. @Albert_Rivera no es de fiar @Albert_Rivera no es de fiar @Albert_Rivera no es de fiar @Albert_Rivera no es de fiar @Albert_Rivera no es de fiar @Albert_Rivera no es de fiar @Albert_Rivera no es de fiar @Albert_Rivera no es de fiar @Albert_Rivera no es de fiar RT @thecentenator: La estrategia real de Rivera es ofrecer al PSOE mantener su estructura intacta en la Junta de Andalucía a cambio de que nombren presidente a Marín, lo que constituye una traición a España y a sus votantes</t>
  </si>
  <si>
    <t>Si me llaman facha me pongo perraca, cabrear a los rojos es muy adictivo y terapéutico.💚💚💚</t>
  </si>
  <si>
    <t>Albert Rivera se pegará un tiro en el pié vetando a VOX en Andalucía, así como todo aquel que pretenda frenar esta corriente de españolidad tan olvidada por los partidos actuales, la gente esta arta de tanto sinvergüenza, ésta democracia tiene 40 años ya no engañan a nadie</t>
  </si>
  <si>
    <t>Dani Valdivia</t>
  </si>
  <si>
    <t>Que te gusta ser súbdito @Albert_Rivera. De reyes y de bancos. RT @gabrielrufian: Para poder escoger se tiene que poder votar y eso no lo lleváis muy bien @Albert_Rivera</t>
  </si>
  <si>
    <t>https://twitter.com/gabrielrufian/status/1070426470349242368
https://twitter.com/albert_rivera/status/1070425503234961410?s=21</t>
  </si>
  <si>
    <t>Dos Hermanas, Sevilla, España</t>
  </si>
  <si>
    <t>Politólogo en construcción. Sociólogo en formación. En la @pablodeolavide Me dejo caer en @elsalto_and</t>
  </si>
  <si>
    <t>https://www.elsaltodiario.com/elecciones-autonomicas/andalucia-se-encamina-hacia-las-urnas-campana-e</t>
  </si>
  <si>
    <t>La constitución con en la q los españoles no olvidaron su historia recién, sino que, por recordarla, decidieron no repetirla @CasaReal @sanchezcastejon @Albert_Rivera @Pablo_Iglesias_ @pablocasado_</t>
  </si>
  <si>
    <t>https://blogs.elconfidencial.com/espana/matacan/2018-12-06/aniversario-constitucion-espana-envidiada-ignorada_1689718/?utm_campaign=BotoneraWebapp&amp;utm_source=twitter&amp;utm_medium=social</t>
  </si>
  <si>
    <t>🗞 PP y Cs quieren cerrar el acuerdo del cambio antes del 27 de diciembre El líder nacional de Ciudadanos, Albert Rivera, aseguró ayer que quiere tener cerrado el grueso del acuerdo con el PP antes de Navidad.</t>
  </si>
  <si>
    <t>España, envidiada por el mundo e ignorada y maltratada por los idiostas de los españoles @UEmadrid @CasaReal @Pablo_Iglesias_ @pablocasado_ @Albert_Rivera @sanchezcastejon</t>
  </si>
  <si>
    <t>https://sevilla.abc.es/elecciones/andalucia/sevi-pp-y-quieren-cerrar-acuerdo-cambio-antes-27-diciembre-201812070919_noticia.html</t>
  </si>
  <si>
    <t>EL-JB</t>
  </si>
  <si>
    <t>Fernando Velez Rivera Altibajopr Aj Albert Quiles GabyLon Negrón</t>
  </si>
  <si>
    <t>bitMomentum</t>
  </si>
  <si>
    <t>Más comentados hoy en Derecha/Centro Dcha.: ➀ @ANDRES_CANO42 ↓ ➁ @FrayJosepho ↓ ➂ @sanchezcastejon ↓ ➃ @Albert_Rivera ↓ ➄ @ahorapodemos ↓↓ ➅ @PPopular ↑ ➆ @agarzon ↓ ➇ @InesArrimadas ↑ ➈ @vox_es ↑ ➉ @Pablo_Iglesias_ ↑</t>
  </si>
  <si>
    <t>https://www.facebook.com/story.php?story_fbid=2300284616871047&amp;id=100006685931715</t>
  </si>
  <si>
    <t>https://pbs.twimg.com/media/Dtw1LxnXcAYjihU.jpg</t>
  </si>
  <si>
    <t>Isabela, PR</t>
  </si>
  <si>
    <t>Técnico Radial, Animador Oficial de L@s Atenienses de Mataní (BSN(F)), Locutor, Actor y Músico. Facebook: EL-JB Instagram: el_jb_ Periscope: EL JB #NoJBNoParty</t>
  </si>
  <si>
    <t>MASL</t>
  </si>
  <si>
    <t>Albert Rivera. Elecciones Andalucía 2018  vía @YouTube</t>
  </si>
  <si>
    <t>Observatorio en tiempo real de política española en Twitter.</t>
  </si>
  <si>
    <t>http://www.bitmomentum.com</t>
  </si>
  <si>
    <t>https://youtu.be/RTaLCxiU6KU</t>
  </si>
  <si>
    <t>11100 San Fernando (Cádiz)</t>
  </si>
  <si>
    <t>Integridad y sentido del humor</t>
  </si>
  <si>
    <t>Más comentados hoy en Cataluña/Catalanismo: ➀ @gabrielrufian ↑ ➁ @GorkaKB ↑↑ ➂ @InesArrimadas ↓ ➃ @sanchezcastejon ↓ ➄ @culebra1978 ↑ ➅ @rac1 ↓ ➆ @KRLS ↑ ➇ @Esquerra_ERC ↑ ➈ @miqueliceta ↑ ➉ @Albert_Rivera ↑↑</t>
  </si>
  <si>
    <t>https://pbs.twimg.com/media/Dtw1LzKWwAEVwxc.jpg</t>
  </si>
  <si>
    <t>Más influyentes hoy en Derecha/Centro Dcha.: ➀ @ANDRES_CANO42 ↓ ➁ @FrayJosepho ↓ ➂ @Albert_Rivera ↑ ➃ @juanchoex ↑ ➄ @dlacalle ↑↑ ➅ @josepramonbosch ↑ ➆ @JosPastr ↑ ➇ @ldpsincomplejos ↑ ➈ @javiernegre10 ↑</t>
  </si>
  <si>
    <t>https://pbs.twimg.com/media/Dtw09MHWkAAvcjX.jpg</t>
  </si>
  <si>
    <t>Mikel Lizaldez</t>
  </si>
  <si>
    <t>Albert Rivera y Santiago Abascal del amor al "odio"</t>
  </si>
  <si>
    <t>Pamplona / Iruña</t>
  </si>
  <si>
    <t>En mi bucle con CSI mientras espero con ganas el concierto de Love of Lesbian de Pamplona de Diciembre.// esperando la buena música.</t>
  </si>
  <si>
    <t>PAH Arganda</t>
  </si>
  <si>
    <t>Toda la razón, y un poco más que te damos nosotras, @davalosalarcon #40AñosDeConstitución que no se cumple. Tomen nota, @sanchezcastejon @pablocasado_ @Albert_Rivera @Pablo_Iglesias_ @agarzon @gabrielrufian Dejen ya la insensatez, y legislen para que la vivienda sea un derecho. RT @davalosalarcon: #40AñosDeConstitución, reivindico el cumplimiento de los artículos 47, 10.2, 96 CE en relación con el 11.1 PIDESC, #DerechoALaViviendaDigna, #derechoatecho #DerechoAlHogar como #DDFF #DDHH #StopDesahucios</t>
  </si>
  <si>
    <t>https://twitter.com/davalosalarcon/status/1070659305857277954</t>
  </si>
  <si>
    <t>https://pbs.twimg.com/media/Dtu-7pOWsAAAKBJ.jpg</t>
  </si>
  <si>
    <t>Federico J Rodríguez</t>
  </si>
  <si>
    <t>Rivera rechaza el "guerracivilismo" porque no ve "enemigos" en la izquierda ni la derecha, sólo "compatriotas"</t>
  </si>
  <si>
    <t>Arganda</t>
  </si>
  <si>
    <t>Plataforma de Afectados por la Hipoteca de Arganda. info@paharganda.com</t>
  </si>
  <si>
    <t>http://paharganda.com/</t>
  </si>
  <si>
    <t>http://dlvr.it/Qt2xzw</t>
  </si>
  <si>
    <t>https://pbs.twimg.com/media/Dtze-opU8AAGtmU.jpg</t>
  </si>
  <si>
    <t>Periodista. Redactor jefe y editor de espacios informativos de Fuengirola Televisión y Radio (FTV) Antes: La Opinión de Málaga y Diario Málaga Costa del Sol.</t>
  </si>
  <si>
    <t>http://www.fuengirolatv.com</t>
  </si>
  <si>
    <t>📽 @Albert_Rivera "Debemos buscar consensos entre los partidos constitucionalistas para hacer reformas. Ahora no es posible porque el #Sanchismo ha abandonado ese espacio, pero en una nueva legislatura podemos lograr esa mayoría" #40AñosdeConstitución</t>
  </si>
  <si>
    <t>Javier Sanchis</t>
  </si>
  <si>
    <t>Me ha gustado un vídeo de @YouTube ( - ¡¡"BRUTAL" la RESPUESTA de ALBERT RIVERA a una PERIODISTA sobre el</t>
  </si>
  <si>
    <t>pic.twitter.com/JhawL4EuhS</t>
  </si>
  <si>
    <t>http://youtu.be/Ki-nKw0krwY?a</t>
  </si>
  <si>
    <t>Valencia</t>
  </si>
  <si>
    <t>Networker, Coach personal y profesional. ¡Siempre un paso más allá!</t>
  </si>
  <si>
    <t>Gustavo Bataller Pie</t>
  </si>
  <si>
    <t>http://www.citizengo.org/hazteoir/pc/167099-al-psoe-ni-agua-sr-rivera?tc=tw&amp;tcid=52561976</t>
  </si>
  <si>
    <t>NEUROCIRUJANO JUBILADO</t>
  </si>
  <si>
    <t>Jordbcn</t>
  </si>
  <si>
    <t>Oye @CsCongreso @Albert_Rivera @GirautaOficial Se lo explicais a @MiquelGimenezG1 y de paso al resto? Porque a veces nos dejais ojiplaticos... RT @MiquelGimenezG1: Ciudadanos me va a tener que explicar muy despacito por qué han pactado con el separatismo en la Corpo catalana. Muy despacito</t>
  </si>
  <si>
    <t>https://twitter.com/miquelgimenezg1/status/1070377128636637184</t>
  </si>
  <si>
    <t>Catalan mientras me dejen.</t>
  </si>
  <si>
    <t>Antonio Garcia Leal</t>
  </si>
  <si>
    <t>Una investigación internacional desmiente los mensajes de PP, Cs y Vox sobre inmigración y sistemas sanitarios  #tatarlak Me lo pueden explicar sr @Albert_Rivera @pablocasado_ y sra @InesArrimadas</t>
  </si>
  <si>
    <t>http://ow.ly/s3CU30mTr9W</t>
  </si>
  <si>
    <t>El Vendrell</t>
  </si>
  <si>
    <t>Miembro de la ejecutiva Esquerra Republicana Cataluña de Vendrell Republicano por convicción. Portavoz de la @XVendrellenca #tatarlak</t>
  </si>
  <si>
    <t>https://projecto2019vendre.wixsite.com/tatarlak</t>
  </si>
  <si>
    <t>Sr. Lopez</t>
  </si>
  <si>
    <t>Estos no son los mismos que quieren cerrar Canal Sur?: Detenido García Juliá, uno de los autores de la matanza de Atocha @lavanguardia  @Santi_ABASCAL @Albert_Rivera @pablocasado_ @jordi_canyas @InesArrimadas @Ortega_Smith @PPopular @vox_es</t>
  </si>
  <si>
    <t>Miguel B Casanova</t>
  </si>
  <si>
    <t>Los "Gemelos del Sur" pactarán con VOX, porque comparten muchas "ideas".Una de ellas es la #LeyMordaza Los vaivenes andaluces de PP y Ciudadanos con Vox via @El_Plural</t>
  </si>
  <si>
    <t>https://www.lavanguardia.com/politica/20181206/453399945627/detenido-brasil-autor-matanza-abogados-atocha.html?utm_campaign=botones_sociales&amp;utm_source=twitter&amp;utm_medium=social</t>
  </si>
  <si>
    <t>https://www.elplural.com/politica/pablo-casado-albert-rivera-santiago-abascal-vox-pacto-andalucia_207684102</t>
  </si>
  <si>
    <t>Espanya</t>
  </si>
  <si>
    <t>Economista y abogado. Colaborador en radio y televisión. Este es mi verdadero perfil, el de verdad es mi avatar.</t>
  </si>
  <si>
    <t>🆕 @Albert_Rivera , @InesArrimadas y @manuelvalls apelan al "patriotismo constitucionalista" 📰La noticia en La Opinión de Tenerife 👇</t>
  </si>
  <si>
    <t>https://www.laopinion.es/nacional/2018/12/05/rivera-afirma-mejor-reforma-constitucion/934450.html</t>
  </si>
  <si>
    <t>Llorenç ❤️🎗💜</t>
  </si>
  <si>
    <t>Vaya‼️ Ni @PP ni @pablocasado_ han felicitado a las fuerzas y cuerpos de seguridad por la detención del asesino fascista de #Atocha Carlos García Juliá 🤔 Ah, bueno, q está el negocio con VOX en Andalucía Anda! @CiudadanosCs ni @Albert_Rivera tampoco Cachis‼️🤷🏻‍♂️ RT @_infoLibre: La Policía de #Brasil detiene a Carlos García Juliá, uno de los autores de la matanza de los abogados de #Atocha en 1977</t>
  </si>
  <si>
    <t>https://twitter.com/_infolibre/status/1070760607245316097
http://ow.ly/2DWX30mTpen</t>
  </si>
  <si>
    <t>https://pbs.twimg.com/media/DtwbGQCXcAAEO3i.jpg</t>
  </si>
  <si>
    <t>La Francia del Albert Rivera francés, añadiría. RT @_ju1_: Si este video donde cientos de menores de edad son humillados y vejados por miembros de la policia fuera de Cuba, estaría dando la vuelta al mundo y abriría los telediarios. Pero no, es la Francia macronista.</t>
  </si>
  <si>
    <t>República independiente Radio</t>
  </si>
  <si>
    <t>Valencià. Soci del club de la hojarasca La Niña Bonita Revolucionario conmovido Gerundio-yendo #Avenencia💚✊🏽👩🏻‍🌾👨🏼‍🌾🐦🌿💜Carne Cruuuda MontgóRocker</t>
  </si>
  <si>
    <t>http://www.partidoequo.es</t>
  </si>
  <si>
    <t>Iván</t>
  </si>
  <si>
    <t>Hay que tener muy poca autoestima para desvivirse tanto por unos políticos 🤣 y qué grande los tiene @Albert_Rivera, qué pena que no ser un verdadero liberal. RT @Er_Richal: 7000€ la matrícula en el liceo. Que dura es la vida del antifascista</t>
  </si>
  <si>
    <t>https://twitter.com/Er_Richal/status/1070447615844716544</t>
  </si>
  <si>
    <t>pic.twitter.com/YMZ30eDBS8</t>
  </si>
  <si>
    <t>tenerife, España.</t>
  </si>
  <si>
    <t>Estudiante de Dirección y creación de empresas en la UEM y madridista de alma</t>
  </si>
  <si>
    <t>Yo le aconsejaría a @Albert_Rivera que tomase el de la izquierda en ella tiene más posibilidades y puede regenerarla que falta le hace @Santi_ABASCAL ya se va encargar de regenerar la derecha 😉 RT @doguionrego: @Albert_Rivera en una encrucijada tirar por el camino de la derecha o el de la izquierda Son los problemas que tiene el centro 😃</t>
  </si>
  <si>
    <t>https://twitter.com/doguionrego/status/1070767241313116161
https://twitter.com/jaimedeolano/status/1069850399841140736</t>
  </si>
  <si>
    <t>O perderlos de los dos, azules y naranjas @Albert_Rivera</t>
  </si>
  <si>
    <t>https://www.libertaddigital.com/espana/2018-12-06/cs-en-una-encrucijada-mortal-tendra-que-elegir-entre-perder-votos-azules-o-naranjas-1276629469/</t>
  </si>
  <si>
    <t>Salva Tovar Funes</t>
  </si>
  <si>
    <t>Albert Rivera pide superar el 'guerracivilismo' y llama al PSOE a unirse a Ciudadanos y PP para afrontar una reforma constitucional  vía @laSextaTV</t>
  </si>
  <si>
    <t>http://j.mp/2Ef1gvH</t>
  </si>
  <si>
    <t>Regidor del Ayuntamiento de Sta Coloma de Gramenet y Portavoz de Cs en la Diputación de Barcelona. Trabajando por y para los ciudadanos. Abogado e historiador</t>
  </si>
  <si>
    <t>¿Qué escenario veremos en Andalucía? De momento, así están las cosas. Por @cguzmanal</t>
  </si>
  <si>
    <t>🇪🇦 Tenemos que ser la España que suma, no que resta, que une, no que divide, la España que defiende valores, no etiquetas 📽 A continuación el resumen del acto #40añosDeConstitución en el Liceu de Barcelona con la participación de @Albert_Rivera, @InesArrimadas y @manuelvalls</t>
  </si>
  <si>
    <t>Artículo 155 CE @Albert_Rivera @GirautaOficial @ldpsincomplejos RT @arturelpayaso2: Los Mossos, obligados a cargar contra los CDR independentistas en Girona tras intentar ocupar la plaza 1 de Octubre y evitar una manifestación a favor de ls Constitución. Esta gentuza no son ni catalanes ni españoles. Son fascistas.</t>
  </si>
  <si>
    <t>Pablo C.L.</t>
  </si>
  <si>
    <t>Supongo que @pedroj_ramirez no tienen ni idea de q pasa con Cs en muchas  queda con Rivera,Arrimadas como han hecho todos los apuntacarros. Empapelan ciudades y pueblos con la cara de Albert, pero ganan sillón los jetas,amañando primarias y pagando x sitio RT @Ariakas: @FrayJosepho Es que @pedroj_ramirez está a muerte con Ciudadanos, pero me da que a estos últimos se les va a caer la careta dentro de poco en Andalucía.</t>
  </si>
  <si>
    <t>https://twitter.com/arturelpayaso2/status/1070626621999251456</t>
  </si>
  <si>
    <t>pic.twitter.com/M7EM0N7zIh</t>
  </si>
  <si>
    <t>http://CCAA.Se
https://twitter.com/ariakas/status/1070803868295024640</t>
  </si>
  <si>
    <t>Cartagena, Spain</t>
  </si>
  <si>
    <t>Cartagenero, I.T./Sistemas en el C.U.D. (A.G.A.). Just personal opinion. Per aspera ad astra</t>
  </si>
  <si>
    <t>Asonipse Solrac</t>
  </si>
  <si>
    <t>¿Por qué todos nos acordamos de las víctimas de ETA pero algunos se han olvidado de las víctimas de la transición? @sanchezcastejon @Albert_Rivera y @pablocasado_ @Pablo_Iglesias_ "In memoriam• de David García Caparros (q.e.p d.)</t>
  </si>
  <si>
    <t>https://m.eldiario.es/politica/falso-mito-Transicion-incruenta_0_843066416.html</t>
  </si>
  <si>
    <t>Juan José Calderón Amador</t>
  </si>
  <si>
    <t>"Si yo fuera Ciudadanos, ocuparía el espacio del centroizquierda", ha afirmado Casado, cuya teoría "optimización" pasaría por "ser generosos" y no tratar de invadir uno el electorado del otro @PPopular @CiudadanosCs @pablocasado_ @Albert_Rivera #AndaluCIA 🇪🇸 #CENTROizquierda</t>
  </si>
  <si>
    <t>Christian Vidauri</t>
  </si>
  <si>
    <t>https://pbs.twimg.com/media/DtwbmM6WsAALc0b.jpg</t>
  </si>
  <si>
    <t>“Los sucesivos gobiernos bipartidistas han confundido descentralización con fragmentación, poniendo en jaque la igualdad.” -Albert Rivera 👏👏👏 RT @CiudadanosCs: 🖋 Hoy @Albert_Rivera ha escrito un artículo para @larazon_es sobre la Constitución 👇 🗣 "Es de justicia reivindicarla y defenderla" 👉 Los constitucionalistas tenemos que defender y aplicar la Carta Magna, y no legitimar a sus adversarios. 🗞 Léelo en</t>
  </si>
  <si>
    <t>https://twitter.com/ciudadanoscs/status/1070716125242159110
https://www.larazon.es/espana/cuidar-nuestra-constitucion-por-albert-rivera-BP20854162</t>
  </si>
  <si>
    <t>https://pbs.twimg.com/media/DtvxSWvWoAAz-ws.jpg</t>
  </si>
  <si>
    <t>elige la cadena de la vida abc1chde2ghij...✘ⓔ-ⓝⓐⓤⓣⓐ, ⓔ-ⓜⓔⓝⓣⓔ Sevilla ★ blockchain ★ elearning ★Ⓐrⓣ ★ P2P ★ economy★HigherED ★ PhD student @fceyeUS @unisevilla</t>
  </si>
  <si>
    <t>https://medium.com/@eraser</t>
  </si>
  <si>
    <t>Estados Unidos</t>
  </si>
  <si>
    <t>For what does it profit a man to gain the whole world and forfeit his soul? -Mark 8:36 🇪🇸🇪🇸🇪🇸🇪🇸🇺🇸</t>
  </si>
  <si>
    <t>http://www.standup2cancer.org</t>
  </si>
  <si>
    <t>Esa no es la bandera de Albert RIvera RT @JosPastr: No se manifiestan contra Vox. Se manifiestan contra el resultado de las elecciones. Y encima con la bandera de los que les llaman vagos, parásitos y destruidos.</t>
  </si>
  <si>
    <t>📽 @Albert_Rivera "Los demócratas debemos unirnos en torno a los valores constitucionales: igualdad, solidaridad, libertad y unión. Necesitamos más serenidad que nunca para buscar consensos y hablar de lo que nos une" #40AñosdeConstitución</t>
  </si>
  <si>
    <t>https://twitter.com/JosPastr/status/1069693587493928965</t>
  </si>
  <si>
    <t>https://pbs.twimg.com/media/DthQYGQW4AACydy.jpg</t>
  </si>
  <si>
    <t>pic.twitter.com/M6s32MMN9R</t>
  </si>
  <si>
    <t>Gus el Sucio</t>
  </si>
  <si>
    <t>Para @pablocasado_ @Santi_ABASCAL y Albert Rivera que me tiene bloqueado. Ya sabéis...primero los de aquí,¿verdad?</t>
  </si>
  <si>
    <t>https://pbs.twimg.com/media/DtzPqqiWoAAAGMR.jpg</t>
  </si>
  <si>
    <t>Alexandre Hoffmann 🔻</t>
  </si>
  <si>
    <t>Supera tu el fascismo, José Antonio. ⁦@Albert_Rivera⁩</t>
  </si>
  <si>
    <t>Soy el hijo de quien no pudieron callar.</t>
  </si>
  <si>
    <t>https://www.lasexta.com/noticias/nacional/albert-rivera-pide-superar-guerracivilismo-llama-unirse-ciudadanos-psoe-afrontar-reorma-constitucional_201812065c091a4d0cf26a2d5573bc92.html</t>
  </si>
  <si>
    <t>Si esto fuese Cataluña o Venezuela todos los medios de manipulación estarían hablando de que tratan a los estudiantes como si fuesen presos de guerra por protestar contra los recortes en educación. Pero no dirán nada porque es la Francia de Macron que tanto gusta a Albert Rivera RT @notienred: #FRANCIA🇫🇷: Impactantes imágenes de decenas de estudiantes secundarios siendo detenidos por protestar contra el gobierno de @emmanuelmacron</t>
  </si>
  <si>
    <t>Antic compte bloquejat 📍Can Picafort, Mallorca 🔻 Marxista ☭ 🥋 Competidor de Karate 📚 Història UIB</t>
  </si>
  <si>
    <t>https://twitter.com/notienred/status/1070814367103500294</t>
  </si>
  <si>
    <t>pic.twitter.com/DBPVR33K13</t>
  </si>
  <si>
    <t>manolo carrillo</t>
  </si>
  <si>
    <t>Vox exige a @pablocasado_ @PPopular y a @Albert_Rivera @CiudadanosCs la ilegalización del PSOE si quieren tener su apoyo.</t>
  </si>
  <si>
    <t>Tikko ®</t>
  </si>
  <si>
    <t>Albert Rivera llorando pensando que hace una semana estaba por aquí RT @Ayto_Sevilla: ❄️ Alameda de Hércules ⛄️ 🎄#AlumbraSevilla 🔝</t>
  </si>
  <si>
    <t>https://twitter.com/Ayto_Sevilla/status/1070734831946997761</t>
  </si>
  <si>
    <t>pic.twitter.com/zmNduJLQTv</t>
  </si>
  <si>
    <t>Volteando el mundo</t>
  </si>
  <si>
    <t>Ustedeh reirse. Descubridor del #TongasoGordo</t>
  </si>
  <si>
    <t>Redován, España</t>
  </si>
  <si>
    <t>Compañero. Padre. Luchando por lo que nos han quitado. Cansado de los salvapatrias. Socialista. Del PSOE.</t>
  </si>
  <si>
    <t>Diego Clemente Cs</t>
  </si>
  <si>
    <t>Cuidar nuestra Constitución, por @Albert_Rivera👉🏼🖥</t>
  </si>
  <si>
    <t>Andalucía, Roquetas de Mar</t>
  </si>
  <si>
    <t>Arquitecto y Diputado en el @Congreso_es de @cscongreso por @almeria_cs. Portavoz Políticas Integrales para la Discapacidad y Servicios Sociales.Consejero G.</t>
  </si>
  <si>
    <t>https://m.facebook.com/diegoclementeciudadano/</t>
  </si>
  <si>
    <t>Carlos Ros</t>
  </si>
  <si>
    <t>esper jimenez</t>
  </si>
  <si>
    <t>lo malo no es morir, lo malo es no saber vivir</t>
  </si>
  <si>
    <t>http://www.citizengo.org/hazteoir/pc/167099-al-psoe-ni-agua-sr-rivera?tc=tw&amp;tcid=52561370</t>
  </si>
  <si>
    <t>Espanta☆Gaviotas☆</t>
  </si>
  <si>
    <t>#FelizFinde si esto fuera Venezuela los medios Fascistas Españoles sacarían la noticia todos los días, pero es la Francia de Macronla de Albert Rivera, humillando a la población. RT @iDiarioES: FRANCIA | En Mantes-la-Jolie, 146 estudiantes de secundaria fueron brutalmente detenidos por la policía de Macron, reunidos en un terreno baldío, arrodillados y con las manos detrás de la cabeza antes de ser humillados. #GiletsJaunes #Rebelion #HuelgaGeneralYA</t>
  </si>
  <si>
    <t>MADRID  ( España)</t>
  </si>
  <si>
    <t>https://twitter.com/iDiarioES/status/1070821111254917120</t>
  </si>
  <si>
    <t>pic.twitter.com/alAJAKBUYS</t>
  </si>
  <si>
    <t>Javier Rubio</t>
  </si>
  <si>
    <t>¿Por qué no usáis el poder mediático de esta plataforma para intentar poneros un poco de acuerdo en vez de tratar de enfrentarnos aún más? @Pablo_Iglesias_ @Albert_Rivera @pablocasado_ @sanchezcastejon Mientras os seguís echando culpas las ideas extremas avanzan a campo abierto.</t>
  </si>
  <si>
    <t>el Bosque</t>
  </si>
  <si>
    <t>No me dan miedo los pájaros, me dan miedo las Gaviotas, Una Victima más de la reforma laboral del PP....sin futuro</t>
  </si>
  <si>
    <t>https://pbs.twimg.com/media/DtwW2YAW4AIe96z.jpg</t>
  </si>
  <si>
    <t>Aldo Gómez Caeiro</t>
  </si>
  <si>
    <t>Seguro que Pablo Casado o Albert Rivera va a intentar paralizar un desahucio lo reciben igual... Menudo termómetro RT @marubimo: Se nota que el político mejor valorado según el CIS, despierta "pasiones" a su paso entre la ciudadanía..... 🙈🙈🙈</t>
  </si>
  <si>
    <t>Escocia, Reino Unido</t>
  </si>
  <si>
    <t>Viajero de profesión, escritor de vocación. Trabajo, dinero y estudios no determinan quién eres; tus ideas en cambio si lo hacen. Amante de la vida en su medio.</t>
  </si>
  <si>
    <t>http://thefreshage.org</t>
  </si>
  <si>
    <t>https://twitter.com/marubimo/status/1070727776725057537</t>
  </si>
  <si>
    <t>pic.twitter.com/xcfstQ1tcJ</t>
  </si>
  <si>
    <t xml:space="preserve">Toledo - Vilagarcía </t>
  </si>
  <si>
    <t>Galego, periodista en la SER. Ahora en Toledo, antes en Albacete, Madrid y Vilagarcía</t>
  </si>
  <si>
    <t>Carles Soler</t>
  </si>
  <si>
    <t>Que razon tienes @Albert_Rivera, por eso tu eres nacionalista (español) y populista, Todo un peligro!! RT @Albert_Rivera: Nacionalismo y populismo son hoy las mayores amenazas a España y a Europa. Iglesias ataca diariamente a la Constitución y a la Jefatura del Estado. Yo si tengo que escoger entre él o Felipe VI... Qué queréis que os diga 😉 #40AñosDeConstitución</t>
  </si>
  <si>
    <t>https://twitter.com/Albert_Rivera/status/1070425503234961410</t>
  </si>
  <si>
    <t>pic.twitter.com/hNGxlsIz8P</t>
  </si>
  <si>
    <t>Independetto #GeneralStrike II*II</t>
  </si>
  <si>
    <t>Ja ja ja que esperas de @urjc ? A que si te cagas en el escritorio del profesor te ponen un 10 o si enifas coca como @Albert_Rivera tienes matricula de honor. RT @FonsiLoaiza: Es vergüenza que desde las universidades se promueva el fascismo. En la Universidad Juan Carlos I tienes un descuento de 8.000€ si eres afiliado al partido fascista de @vox_es</t>
  </si>
  <si>
    <t>https://twitter.com/FonsiLoaiza/status/1070716130220797954</t>
  </si>
  <si>
    <t>https://pbs.twimg.com/media/DtvyoDkW0AAzkQp.jpg</t>
  </si>
  <si>
    <t>No Español, Català per adopció, SudaKa (como a tantas antonias he oido) tuitero de lavabo, BCI (Bloqueador compulsivo de Imbésiles)</t>
  </si>
  <si>
    <t>http://www.spainsucks.com</t>
  </si>
  <si>
    <t>Alfredo Perez Doming</t>
  </si>
  <si>
    <t>Por fin un político de izquierdas con dos dedos de frente, @agarzon @Pablo_Iglesias_ @Albert_Rivera @pnique @pablocasado_ esto se llama ser coherente ⬇️⬇️⬇️⬇️⬇️</t>
  </si>
  <si>
    <t>https://pbs.twimg.com/media/DtwVdanWkAA2Ndf.jpg</t>
  </si>
  <si>
    <t>Todos somos el secreto de alguien</t>
  </si>
  <si>
    <t>http://elmascadelbarrio.blogspot.com.es/</t>
  </si>
  <si>
    <t>Carolina Domínguez</t>
  </si>
  <si>
    <t>Acabo de poner la TV y en la pantalla @Albert_Rivera hablando de "guerracivilismo", apago la TV. Un político no puede estar utilizando constantemente el lenguaje de la confrontación. Ah y por cierto #yonovotélaConstitución78 RT @gabrielrufian: Para poder escoger se tiene que poder votar y eso no lo lleváis muy bien @Albert_Rivera</t>
  </si>
  <si>
    <t xml:space="preserve">Bcn-Granada </t>
  </si>
  <si>
    <t>Idealista pragmática. Intento poner sentido común a la Economia. Trabajo por aumentar la biodiversidad en Bcn y la Alpujarra. Lectora de biografias.</t>
  </si>
  <si>
    <t>Juan Miguel Garrido</t>
  </si>
  <si>
    <t>El gigante nipón Rakuten, el 'Amazon japonés', estudia trasladar su sede europea de Luxemburgo a Barcelona. Qué desastre. Qué mal todo, @InesArrimadas @Albert_Rivera.</t>
  </si>
  <si>
    <t>pic.twitter.com/h5MUBsKEf4</t>
  </si>
  <si>
    <t>Arturo Gore</t>
  </si>
  <si>
    <t>Periodista y Técnico Superior en Producción de Audiovisuales. En el equipo de comunicación de @facua.</t>
  </si>
  <si>
    <t>Sin miedo a aprender a diario de mis semejantes. Socialmente humanista, humanamente socialista. Grastroadicto y Enolópata, ictuso superviviente 30/12/2016</t>
  </si>
  <si>
    <t>Cs ComValenciana</t>
  </si>
  <si>
    <t>🗞️ @Albert_Rivera 'Gracias a nuestra Constitución pasamos de ser enemigos a compatriotas' #40AñosDeConstitución ➡️</t>
  </si>
  <si>
    <t>La Voz de Almería</t>
  </si>
  <si>
    <t>Según el presidente del Gobierno, el líder de Ciudadanos, Albert Rivera, tiene claro que no va a prescindir, si los necesita, de los votos de Vox.</t>
  </si>
  <si>
    <t>http://mtr.cool/jjrzwky</t>
  </si>
  <si>
    <t>https://pbs.twimg.com/media/DtwRyl0WoAA_Jir.jpg</t>
  </si>
  <si>
    <t>Almería</t>
  </si>
  <si>
    <t>Twitter Oficial del periódico La Voz de Almería (desde 1939). Líderes en la provincia de Almería</t>
  </si>
  <si>
    <t>http://www.lavozdealmeria.com</t>
  </si>
  <si>
    <t>Comunidad Valenciana. España</t>
  </si>
  <si>
    <t>Perfil oficial de @CiudadanosCs en la Comunidad Valenciana. 📲Conecta con nosotros en Facebook https://goo.gl/hZo8B2X y en Instagram https://goo.gl/hZUHsL</t>
  </si>
  <si>
    <t>http://cortes-valencianas.ciudadanos-cs.org</t>
  </si>
  <si>
    <t>🇪🇸 En 1978, la aprobación de nuestra Constitución permitió la España de hoy #40AñosDeConstitución #DíadelaConstitución @Albert_Rivera "Tenemos una de las mejores constituciones del mundo" 🎥 ¡Dentro vídeo!</t>
  </si>
  <si>
    <t>pic.twitter.com/lkjV1m6n1s</t>
  </si>
  <si>
    <t>Joaquín 🇪🇸🇪🇺♿</t>
  </si>
  <si>
    <t>Albert Rivera @Albert_Rivera. Entrevista "14 horas" en RNE el Día de la Constitución</t>
  </si>
  <si>
    <t>https://youtu.be/kkG_dWoUpyc</t>
  </si>
  <si>
    <t>Delfos</t>
  </si>
  <si>
    <t>Manda huevos que un niñato, asqueroso y fascistas, vividor de la mentira, llamado para más inri, Albert Primo de Rivera, nos diga a los demócratas que estamos fuera de la Constitución... "hijo de perra rabiosa"...</t>
  </si>
  <si>
    <t>No eres lo que logras, eres lo que superas. Licenciado en Derecho. Exec. Máster Urbanismo y Ordenación del Territorio 'MUOT' (CEU)🍊💪</t>
  </si>
  <si>
    <t>Todo pasa y todo queda......!!!</t>
  </si>
  <si>
    <t>Tweetherr</t>
  </si>
  <si>
    <t>Os acordáis cuándo @CiudadanosCs @InesArrimadas @Albert_Rivera defendían que tenía que votar la lista más votada 😂😂😂... Estaban de broma... RT @JuanMarin_Cs: Los andaluces votaron cambio el 2D. Por ello, hoy hemos decidido en la #EjecutivaCs que el PSOE debe ir a la oposición y que será Cs, conmigo al frente, quien lidere el cambio que necesita #Andalucía. Abriremos negociación con el PP para que esto suceda. Ahora sí, cambio.</t>
  </si>
  <si>
    <t>Ciudadanos con Albert Rivera al frente despertó a la extrema derecha porque se identifica con ella, he aquí el ejemplo en Andalucía.</t>
  </si>
  <si>
    <t>https://twitter.com/JuanMarin_Cs/status/1070326961640235008</t>
  </si>
  <si>
    <t>https://iberomagazine.com/2018/10/22/va-la-extrema-derecha-ganado-terreno/</t>
  </si>
  <si>
    <t>pic.twitter.com/0xEXOCNFMU</t>
  </si>
  <si>
    <t>Girona</t>
  </si>
  <si>
    <t>Albert Rivera en VI Escuela de Verano DENAES 2012 ✔️ Traslado de trasladar,</t>
  </si>
  <si>
    <t>https://youtu.be/V9YYQDqha-Q?nan19=9932048461</t>
  </si>
  <si>
    <t>AJ Calzado 🇪🇸🇪🇺</t>
  </si>
  <si>
    <t>Dice @Albert_Rivera que @susanadiaz y el @psoedeandalucia "deben asumir la derrota" ¿Qué derrota? ¿Está diciendo que @InesArrimadas y @CiudadanosCs tuvieron una derrota también el #21D en #Cataluña? No... Alberto: C's ganó en Cataluña como el @PSOE ha ganado en #Andalucía.</t>
  </si>
  <si>
    <t>En un lugar de La Mancha</t>
  </si>
  <si>
    <t>Nacido el 12 de Octubre. Periodista de vocación, ingeniero de profesión y árbitro de corazón. Estudio RRLL en la @UCLM_es. Socialista, Feminista y Europeísta</t>
  </si>
  <si>
    <t>http://ajcalzado.blogspot.com.es/</t>
  </si>
  <si>
    <t>Ines Sainz</t>
  </si>
  <si>
    <t>Fuentes cercanas a @desdelamoncloa dicen que @PPopular y @CiudadanosCs no van a moderar a @vox_es Que es Vox quien los va radicalizar. Lo que hay que oír!!!! @sanchezcastejon @Albert_Rivera @pablocasado_ @ierrejon #politica #democracia #flipandoconPedrito</t>
  </si>
  <si>
    <t>Mother, friend, entrepreneur &amp; global citizen @bloguista in @mujerhoy involved in @vivlium</t>
  </si>
  <si>
    <t>https://youtu.be/9SHDrx7tNHg</t>
  </si>
  <si>
    <t>Entrevista a Albert Rivera RIVERA es MÁS PELIGROSO que PABLO IGLESIAS 🔔 BUSCANDO LA SOLUCIÓN, 🔉 ESTAR EN CAMPAÑA,</t>
  </si>
  <si>
    <t>https://goo.gl/LgNNqq?pls71=4818229278</t>
  </si>
  <si>
    <t>Pablo Arangüena</t>
  </si>
  <si>
    <t>Primero lo de @Albert_Rivera era de centro, luego socialdemócrata, después liberal y ahora está dispuesto a pactar con la ultraderecha. Más flexible que Bruce Lee después de una sesión de estiramientos. @PSdeG .</t>
  </si>
  <si>
    <t>https://www.lavozdegalicia.es/noticia/espana/2018/12/06/rivera-abre-puerta-negociar-vox-pese-reticencias-internas/0003_201812G6P2991.htm</t>
  </si>
  <si>
    <t>Vicesecretario xeral do PSdeG-PSOE. Biófilo. Interdependentista.</t>
  </si>
  <si>
    <t>Chus</t>
  </si>
  <si>
    <t>Vais por muy mal camino @Albert_Rivera @vox_es arrasará en Madrid. RT @CastigadorY: C's pacta con PSOE y Podemos librar a Sánchez de explicar su tesis ‘fake’ en la Asamblea de Madrid, no entiendo de que va Ciudadanos siendo el nuevo salvavidas de este PSOE corrupto y traidor, parece que estáis buscando que no os vote nadie.</t>
  </si>
  <si>
    <t>https://twitter.com/CastigadorY/status/1070432429029122050
https://okdiario.com/espana/madrid/2018/12/05/cs-pacta-psoe-podemos-librar-sanchez-explicar-tesis-fake-asamblea-madrid-3432942#.XAhFARthTN4.twitter</t>
  </si>
  <si>
    <t>👨‍👩‍👧‍👦👠💋🦅🌞🥘🇪🇸🏎️✝️@vox_es</t>
  </si>
  <si>
    <t>Más comentados ahora en Derecha/Centro Dcha.: ➀ @agarzon ↓↓ ➁ @FrayJosepho ↓↓↓ ➂ @sanchezcastejon ↓↓↓ ➃ @carloscuestaEM ↑ ➄ @yolandacmorin ↑ ➅ @voxnoticias_es ↓↓↓ ➆ @Albert_Rivera ↑ ➇ @dlacalle ↓↓↓ ➈ @ahorapodemos ↓↓↓</t>
  </si>
  <si>
    <t>Egg Stark</t>
  </si>
  <si>
    <t>Ana Guerra valdria para la politica, porque la demagogia que se gasta para promocionarse es digna de Albert Rivera o Pablo Iglesias</t>
  </si>
  <si>
    <t>Don't be yourself, be a pizza. Everyone loves pizza. Don't follow me, I'm lost</t>
  </si>
  <si>
    <t>Más influyentes ahora en Derecha/Centro Dcha.: ➀ @FrayJosepho ↓↓↓ ➁ @carloscuestaEM ↑ ➂ @yolandacmorin ↑ ➃ @voxnoticias_es ↓↓↓ ➄ @dlacalle ↑ ➅ @Albert_Rivera ↑ ➆ @pablocasado_ ↑ ➇ @javiernegre10 ↑ ➈ @currusquita ↓</t>
  </si>
  <si>
    <t>📽 @Albert_Rivera "Macron, Trudeau y Duque son un buen ejemplo de países que están uniendo en torno a valores, no en etiquetas. Sin un proyecto alternativo no hay victoria; tenemos que construir un proyecto de unión, igualdad y libertad" #40añosdeConstitución</t>
  </si>
  <si>
    <t>pic.twitter.com/P5Iu3u0ISF</t>
  </si>
  <si>
    <t>Cabreados 24h : @pablocasado_: 1716 @Albert_Rivera: 3414 @Pablo_Iglesias_: 7821 @sanchezcastejon: 4727 @Santi_ABASCAL: 12422</t>
  </si>
  <si>
    <t>https://pbs.twimg.com/media/DtwH1xeW0AAq0pG.png</t>
  </si>
  <si>
    <t>GUILLERMO ORDÁS</t>
  </si>
  <si>
    <t>Obviamente Albert Rivera está mucho más cerca de Matteo Salvini! Por eso en Ciudadanos no descartan pactar y formar gobierno en Andalucía con VOX, que es algo que Emmanuel Macron ni siquiera se plantearía...</t>
  </si>
  <si>
    <t>https://pbs.twimg.com/media/Dty1LykX4AASjDv.jpg</t>
  </si>
  <si>
    <t>Javier Negre</t>
  </si>
  <si>
    <t>Españistán</t>
  </si>
  <si>
    <t>Lamentable el acoso diario al que someten a @Albert_Rivera @InesArrimadas @GirautaOficial y otros valientes políticos de @CiudadanosCs en Cataluña. Sorprende ver cómo los separatistas incluso han inoculado el odio contra España a jóvenes de origen asiático 👇👇👇👇👇</t>
  </si>
  <si>
    <t>Republicano, ateo, demócrata, animalista, de izquierdas, antifascista... Diplomado en Relaciones Laborales. LAS VÍCTIMAS DE HOY SERÁN LOS VERDUGOS DEL MAÑANA!</t>
  </si>
  <si>
    <t>https://pbs.twimg.com/media/DtwHI7fWoAQmaQF.jpg</t>
  </si>
  <si>
    <t>Alfredo Díaz</t>
  </si>
  <si>
    <t>Se me ocurren varios nombres: Santiago Abascal, Pablo Casado, Albert Rivera o Billy El Niño. RT @publico_es: EXCLUSIVA | La comisaría Villa de Vallecas investiga quién puso un cartel de Vox en su "Sala de Breefing"  Por @tableroglobal</t>
  </si>
  <si>
    <t>https://twitter.com/publico_es/status/1070921849519796224
https://www.publico.es/politica/exclusiva-extrema-derecha-policial-comisaria-vallecas-investiga-puso-pancarta-vox-sala-breefing.html?utm_source=twitter&amp;utm_medium=social&amp;utm_campaign=publico</t>
  </si>
  <si>
    <t>Periodista de investigación de El Mundo, Informe Negre en Herrera en Cope, El Programa de Ana Rosa, Ya es mediodía (T5), El Cascabel (13 TV) y 120 min (Tmadrid)</t>
  </si>
  <si>
    <t>Asesor de comunicación, guionista de 📺, creativo, jefe de prensa, 🚴‍♀️ y militante del🌹. Mis opiniones son mías, pero te las puedo prestar si me las devuelves.</t>
  </si>
  <si>
    <t>https://es.wikipedia.org/wiki/Sienra</t>
  </si>
  <si>
    <t>Frankky Aledo</t>
  </si>
  <si>
    <t>http://www.citizengo.org/hazteoir/pc/167099-al-psoe-ni-agua-sr-rivera?tc=tw&amp;tcid=52559105</t>
  </si>
  <si>
    <t>Jac Obo</t>
  </si>
  <si>
    <t>sevilla</t>
  </si>
  <si>
    <t>Casi na, de Sevilla y del Sevilla,Ole</t>
  </si>
  <si>
    <t>Cuidadano del mundo.Realista con el Presente,Optimista con el Futuro. Politica y cultura.</t>
  </si>
  <si>
    <t>alfonso freire</t>
  </si>
  <si>
    <t>@ElsaGarciad vs @Albert_Rivera CIERTAMENTE @KRLS y @QuimTorraiPla no son referencias a la hora de abordar una reforma de la Constitución. Cierto también las asimetrías territoriales y un SENADO inútil. Pero ÉL tiene una culpa alícuota en su "mochila".</t>
  </si>
  <si>
    <t>Albert Rivera y Pablo Iglesias no saben quién es Kant 🌏 TRES IDEAS-FUERZA, 📢 AZAR Y CONTINUIDAD,</t>
  </si>
  <si>
    <t>https://goo.gl/ZAe9Dj?gny51=7279560204</t>
  </si>
  <si>
    <t>Tres Cantos, España</t>
  </si>
  <si>
    <t>Aprendiz de economía, amigo de la filosofía y.... algo de TODO y mucho de NADA. Pero..... resisto.</t>
  </si>
  <si>
    <t>Patricia J. de Parga</t>
  </si>
  <si>
    <t>Ramon Perea Garcia</t>
  </si>
  <si>
    <t>!! D Albert Rivera, cada vez tengo más claro su tendencia política; por mucho que diga lo contrario.</t>
  </si>
  <si>
    <t>https://www.youtube.com/watch?v=kkG_dWoUpyc</t>
  </si>
  <si>
    <t>Balenyà, España</t>
  </si>
  <si>
    <t>Doctora en Derecho. Máster Colegio de Europa de Brujas. Profesora de Derecho internacional público UCM. Barcelonesa residente en Madrid. 🇪🇸🇪🇺🌍</t>
  </si>
  <si>
    <t>FD VI de TABARNIA Y III de PUCELA</t>
  </si>
  <si>
    <t>Albert Rivera: “Ni Junqueras ni Puigdemont van a modificar la Constitución a su gusto”, "Ya le gustaría a algunas regiones europeas tener las competencias que tienen Cataluña o el País Vasco" #LaSilenciosaCat Interesante artículo : Cs, su política 👇👇</t>
  </si>
  <si>
    <t xml:space="preserve">El Prat, BAJA TABARNIA </t>
  </si>
  <si>
    <t>TABARNÉS, ESPAÑOL Y ANTILAZI. Políticamente Liberal. Real Madrid, Selección española de fútbol y basket. Marvelita convencido.</t>
  </si>
  <si>
    <t>Ese sería el camino a la larga más eficaz para @CiudadanosCs el problema para @Albert_Rivera es que el mismo cierra esa puerta cuando les tiende la mano a estos @PSOE para que vuelvan a la senda constituciónal y a lo mejor para joder a este @sanchezcastejon vuelven 😃 RT @GabrielaBustelo: El espacio que va dejando libre el @PSOE debería ocuparlo @CiudadanosCs. En esta España desquiciada con una izquierda nacional que no sabe lo que es una nación ni un enemigo nacional, es una obligación moral relevarla.</t>
  </si>
  <si>
    <t>https://twitter.com/GabrielaBustelo/status/1070680112792854534
https://twitter.com/reguerasilva1/status/1070674083891871744</t>
  </si>
  <si>
    <t>P. Sánchez</t>
  </si>
  <si>
    <t>Se entiende que la Reconquista 2.0 la quiera hacer un vasco más nacionalista que Franco, se entiende también que su compañero de aventuras sea Albert Rivera: catalán. Se entiende que toda España, que consume hachís estigmatice a la Linea de la Concepción. #MarcaEspaña</t>
  </si>
  <si>
    <t>Madrizzzzz, Spañistán</t>
  </si>
  <si>
    <t>Get the real truth.</t>
  </si>
  <si>
    <t>francisco jose marqu</t>
  </si>
  <si>
    <t>Alberto San Juan y Willy Toledo: "Si Albert Rivera se sonara con la bandera, sería más creíble"</t>
  </si>
  <si>
    <t>Nopuedorrr</t>
  </si>
  <si>
    <t>https://www.elperiodicoextremadura.com/noticias/cultura/alberto-san-juan-willy-toledo-si-albert-rivera-sonara-bandera-seria-mas-creible_1130598.html</t>
  </si>
  <si>
    <t>Seguirá @Albert_Rivera diciendo lo mismo de las políticas de Macron?</t>
  </si>
  <si>
    <t>https://youtu.be/TPTXhYMDu9c</t>
  </si>
  <si>
    <t>Aquí hay que decir algo genial, no? Pues a ver si se me ocurre.</t>
  </si>
  <si>
    <t>El Cubanisimo60</t>
  </si>
  <si>
    <t>Albert Rivera: "Antes de hablar de reformarla, primero hay que defender la Constitución",!!! Ver más en:</t>
  </si>
  <si>
    <t>http://www.rtve.es/a/4876500</t>
  </si>
  <si>
    <t>luna 🇪🇸</t>
  </si>
  <si>
    <t>Por lo visto quien manda en España es el coletas 🤔@Albert_Rivera tú sabrás lo que haces pero como pactes con la ultraizquierda estás muerto políticamente RT @okdiario: Iglesias plantea a Ciudadanos que ponga “encima de la mesa” un acuerdo para Andalucía</t>
  </si>
  <si>
    <t>https://pbs.twimg.com/media/DtyZ1rwXcAAIbfi.jpg</t>
  </si>
  <si>
    <t>El Verger, España</t>
  </si>
  <si>
    <t>Soy ese PADRE que no me dejaron ser, todo mi existir va dedicado a mis 4 Hij@s, vean como quería educarles; Cristiano, del Barça y el PSOE Gracias a Dios ,!!!</t>
  </si>
  <si>
    <t>https://twitter.com/okdiario/status/1070264778206130177
https://okdiario.com/espana/2018/12/05/iglesias-plantea-ciudadanos-que-ponga-encima-mesa-acuerdo-andalucia-3430367?utm_term=Autofeed&amp;utm_campaign=ok&amp;utm_medium=Social&amp;utm_source=Twitter#Echobox=1544005981</t>
  </si>
  <si>
    <t>Beni62</t>
  </si>
  <si>
    <t>Alberto San Juan y Willy Toledo: "Si Albert Rivera se sonara con la bandera sería más creíble"</t>
  </si>
  <si>
    <t>Palma, España</t>
  </si>
  <si>
    <t>Española hasta la medula abstenerse de seguirme podemitas e independentistas</t>
  </si>
  <si>
    <t>https://www.elperiodico.com/es/ocio-y-cultura/20181205/entrevista-alberto-san-juan-willy-toledo-el-rey-7186754?utm_source=twitter&amp;utm_medium=social</t>
  </si>
  <si>
    <t>santa susanna  ( barcelona)</t>
  </si>
  <si>
    <t>de la independecia de los individuos,depende de la grandeza de los pueblos</t>
  </si>
  <si>
    <t>http://es.facebook.com/leiragarcia</t>
  </si>
  <si>
    <t>Marcos Castro</t>
  </si>
  <si>
    <t>Si @Albert_Rivera no entiende que el voto de @CiudadanosCs es un voto de centro-derecha liberal corre un serio peligro de ser adelantado por @vox_es los votantes de centro-derecha siempre prefieren un partido de derecha dura que un partido que se escora al centro-izquierda.</t>
  </si>
  <si>
    <t>Señor como pocos, Liberal, Capitalista, Economía URJC , Español y Toledano.</t>
  </si>
  <si>
    <t>logarriguenc</t>
  </si>
  <si>
    <t>A quién votarias como Jefe del Estado? @CiudadanosCs @Albert_Rivera @Pablo_Iglesias_</t>
  </si>
  <si>
    <t>Menudo error de @Albert_Rivera Echarse en brazos de estrellas sin necesidad alguna. RT @europapress_tv: Valls ( @manuelvalls ) apuesta por un "gran pacto de país" contra los populismos y rechaza tratos con Vox</t>
  </si>
  <si>
    <t>https://twitter.com/europapress_tv/status/1070322095782019075
https://bit.ly/2Rz8mOD</t>
  </si>
  <si>
    <t>pic.twitter.com/uXSWC4xzzi</t>
  </si>
  <si>
    <t>Andy Gabaldon</t>
  </si>
  <si>
    <t>Albert Rivera es MÁS FALSO que un billete de 15 Euros RT @CervantesFAQs: Manuel Valls critica a Albert Rivera por abrir la puerta a VOX. Parece que Valls no conoce el auténtico origen reaccionario de su partido porque la realidad es que Cs está más cerca de Le Pen que de Macron y ambas cosas son incompatibles. Las contradicciones de Cs are coming 🍿</t>
  </si>
  <si>
    <t>https://twitter.com/cervantesfaqs/status/1070450884839174145</t>
  </si>
  <si>
    <t>ÜT: 10.506355,-66.834945</t>
  </si>
  <si>
    <t>Runner. Ing.Elect. Magister Gestión Pública. PhD Desarrollo Sostenible. "Ante la Tormenta, dóblate como el Bambú..."</t>
  </si>
  <si>
    <t>Daniel Calderón</t>
  </si>
  <si>
    <t>Esto significa Macron, el amigo de Albert Rivera... RT @NaoTseTung: Podemos por favor prestar atención a que se han detenido a 146 estudiantes de un instituto de SECUNDARIA.</t>
  </si>
  <si>
    <t>https://twitter.com/NaoTseTung/status/1070816439379083264
https://twitter.com/AFPphoto/status/1070689730898071552</t>
  </si>
  <si>
    <t>Vallecas-Lyon</t>
  </si>
  <si>
    <t>Estudio Dcho y Políticas en la UCM. Probablemente si se pueda,pero no nos dejen. @ahorapodemos Del Rayo Vallecano. Y entre Lyon y Vallekas</t>
  </si>
  <si>
    <t>Siempre💙</t>
  </si>
  <si>
    <t>¿¿HOLA??😱 @InesArrimadas @Albert_Rivera @Tonicanto1 @GirautaOficial RT @DolcaCatalunya: Però TV3 no s'havia de tancar, amics de C's? Esto es lo que decía Albert Rivera el pasado abril: "Es intolerable que en un Estado de derecho, que en una democracia, una...</t>
  </si>
  <si>
    <t>https://twitter.com/DolcaCatalunya/status/1070702205265723395
https://www.dolcacatalunya.com/2018/12/que-hace-cs-repartiendose-los-asientos-en-tv3-con-el-separatismo/</t>
  </si>
  <si>
    <t>¡¡Shine!!🌻</t>
  </si>
  <si>
    <t>José Luis Vergara</t>
  </si>
  <si>
    <t>En la celebración de los 40 años de nuestra Constitución Española. #40AñosDeConstitución @ysirod @Mariadetabarnia @GirautaOficial @Albert_Rivera @Societatcc @Impulso_Ciudada @jordi_canyas @xoseloisvb</t>
  </si>
  <si>
    <t>pic.twitter.com/U1p0YUSZEV</t>
  </si>
  <si>
    <t>Barcelona (Spain)</t>
  </si>
  <si>
    <t>Comunicación, exhibición, RS, transmedia. En ello ando entretenidamente.</t>
  </si>
  <si>
    <t>Ancor Mesa Méndez #EnsQuedem</t>
  </si>
  <si>
    <t>Dos imágenes se entienden mejor juntas: ¿Seguirá @Albert_Rivera tratando de incendiar Catalunya? 👇👇</t>
  </si>
  <si>
    <t>https://pbs.twimg.com/media/Dtv84kSXcAAxauC.jpg</t>
  </si>
  <si>
    <t>Activista, sociólogo, doctor en Psicología Social y republicano. Profesor asociado en la @UniBarcelona y en la @UABBarcelona. Coordinador de @Podem_BCN</t>
  </si>
  <si>
    <t>Doménec Ortiz</t>
  </si>
  <si>
    <t>https://elvariscaso.wordpress.com/</t>
  </si>
  <si>
    <t>Oliva (València)</t>
  </si>
  <si>
    <t>Tota una vida dedicada a l' ensenyança. Ex-director del Col.legi Alfadalí d'Oliva. M'agrada ajudar als demés. Passió per la lectura. Amunt sempre. 'Carpe diem'.</t>
  </si>
  <si>
    <t>Cs Guadalajara</t>
  </si>
  <si>
    <t>📰 Entrevista | @Albert_Rivera “Ni Junqueras ni Puigdemont van a modificar la Constitución a su gusto”</t>
  </si>
  <si>
    <t>https://elpais.com/politica/2018/11/28/actualidad/1543422865_729627.html?id_externo_rsoc=TW_CC</t>
  </si>
  <si>
    <t>juan fco cabrera romero</t>
  </si>
  <si>
    <t>Aparentemente, es perfectamente legítimo que Albert Rivera pretenda llegar a un acuerdo con el PSOE para hacer presidente de Andalucía a su gris candidato, Juan Marín. Sin embargo,...</t>
  </si>
  <si>
    <t>https://www.libertaddigital.com/opinion/emilio-campmany/rivera-consumido-por-los-celos-86667/</t>
  </si>
  <si>
    <t>Guadalajara</t>
  </si>
  <si>
    <t>Perfil oficial de la Agrupación de Ciudadanos (C's) en Guadalajara. Email: guadalajara@ciudadanos-cs.org Facebook: http://es-es.facebook.com/ciudadanosguad…</t>
  </si>
  <si>
    <t>http://guadalajara.ciudadanos-cs.org/</t>
  </si>
  <si>
    <t>Orgulloso de haber nacido en la Puerta de España.</t>
  </si>
  <si>
    <t>Cs CLM</t>
  </si>
  <si>
    <t>Beatriz Cort (Curts)</t>
  </si>
  <si>
    <t>📽 @Albert_Rivera en el #DíaDeLaConstitución "Debemos buscar consensos entre los partidos constitucionalistas para hacer reformas. Ahora no es posible porque el #Sanchismo ha abandonado ese espacio, pero en una nueva legislatura podemos lograr esa mayoría" #40AñosDeConstitución</t>
  </si>
  <si>
    <t>Me acabo de acordar de lo de Albert Rivera desnudo así que escribo este tweet porque si a mí me pasa, a vostrxs también.</t>
  </si>
  <si>
    <t>pic.twitter.com/Qrf5zfN7q6</t>
  </si>
  <si>
    <t>Curts | En @intromusica_pro e @IM_Records_ tol rato y a veces en @gramoladekeith | 📩 bcortmusic@gmail.com | #NoEsNo</t>
  </si>
  <si>
    <t>http://instagram.com/curtts</t>
  </si>
  <si>
    <t>Castilla-La Mancha</t>
  </si>
  <si>
    <t>Perfil Oficial. Partido político progresista, surgido de un movimiento de ciudadanos que quieren regenerar la política. https://www.facebook.com/CiudadanosCLM/</t>
  </si>
  <si>
    <t>http://castillalamancha.ciudadanos-cs.org</t>
  </si>
  <si>
    <t>Más influyentes ahora en Derecha/Centro Dcha.: ➀ @FrayJosepho ↓ ➁ @voxnoticias_es ↑ ➂ @dlacalle ↓ ➃ @yolandacmorin ↑ ➄ @carloscuestaEM ↑ ➅ @ANDRES_CANO42 ↓ ➆ @pablocasado_ ↑ ➇ @eltivipata ↑ ➈ @Albert_Rivera ↓</t>
  </si>
  <si>
    <t>Miguel Guerrero</t>
  </si>
  <si>
    <t>📽 @Albert_Rivera "El PSOE de Sánchez ha cometido un error histórico al convertir en aliados a quienes pretenden romper el país. El futuro de España pasa por un Gobierno de pactos, de consensos y liderado por un centro político liberal y progresista" #40añosdeConstitución</t>
  </si>
  <si>
    <t>Ciudad del Betis</t>
  </si>
  <si>
    <t>En este campo estuvo el mar, alguna vez volverá.</t>
  </si>
  <si>
    <t>pic.twitter.com/fukcvpRiqB</t>
  </si>
  <si>
    <t>Jose A. Fombuena 🇪🇸</t>
  </si>
  <si>
    <t>Albert Rivera. Celebración del 40 aniversario de la Constitución en el Congreso</t>
  </si>
  <si>
    <t>http://dlvr.it/Qt1YB1</t>
  </si>
  <si>
    <t>https://pbs.twimg.com/media/DtxbJbSU8AAAnzO.jpg</t>
  </si>
  <si>
    <t>Llíria- Valencia</t>
  </si>
  <si>
    <t>“El hombre sabe transformar el mundo exterior con su genio . Aprenda a transformar sus egoísmos, y entonces si que todo será luz.” José Echegaray</t>
  </si>
  <si>
    <t>Sr. Presidente @sanchezcastejon, pide seguridad a Torra para los días 21 y 22D. Los ciudadanos no tenemos derecho á ella y vivir en paz? Imponga un 155 duro y termine con esta guerra!!! Sea un hombre de una vez!! @Defensagob @Albert_Rivera @pablocasado_ @Santi_ABASCAL @CasaRea RT @arturelpayaso2: Radicales independentistas, los amigos de Quim Torra y Puigdemont, agreden salvajemente a Álvaro de Marichalar, quien tuvo que huir para no ser linchado. Cataluña está en guerra, y quien no lo vea, que se lo haga mirar.</t>
  </si>
  <si>
    <t>Albert Rivera. Entrevista en "14 horas" de RNE en el Día de la Constitución</t>
  </si>
  <si>
    <t>http://dlvr.it/Qt1Y1C</t>
  </si>
  <si>
    <t>https://pbs.twimg.com/media/DtxbIvUUUAAk6g8.jpg</t>
  </si>
  <si>
    <t>burtikodellafuertes</t>
  </si>
  <si>
    <t>Me gustas más que a Albert Rivera la cocaína</t>
  </si>
  <si>
    <t>Lisboa, Portugal</t>
  </si>
  <si>
    <t>lo tuyo no es libertad de expresión, es fascismo🙃</t>
  </si>
  <si>
    <t>Primo del Rivera</t>
  </si>
  <si>
    <t>A ver @Santi_ABASCAL, te va a resultar difícil competir con @CiudadanosCs para soltar tu mierda de propaganda falsa generadora de odio .. @Albert_Rivera lleva más tiempo que tú en el parnorama nacional como líder, entiéndeme.</t>
  </si>
  <si>
    <t>https://pbs.twimg.com/media/Dtv4gL0X4AAPZOv.jpg</t>
  </si>
  <si>
    <t>Primo del Líder Supremo de Españistán; el Generalísimo Albert Rivera. Creador del blog kKdiaria (https://kkdiaria.blogspot.com).</t>
  </si>
  <si>
    <t>http://elmundotalcomovapd.blogspot.com.es</t>
  </si>
  <si>
    <t>Dr. Kansas</t>
  </si>
  <si>
    <t>jose antonio gomez s</t>
  </si>
  <si>
    <t>Lleva unos días @Albert_Rivera haciéndo como que no conoce a Macron, a diferencia de cuándo ganó que era el Rivera francés. Vaya tela con los gobiernos bolivarianos destruyendo el estado del bienestar francés.</t>
  </si>
  <si>
    <t>:v</t>
  </si>
  <si>
    <t>Ivan Adrián Calderón</t>
  </si>
  <si>
    <t>Le dijo ella A Albert Rivera Si... Soy como Quevedo RT @AndreaDeclap: Quiero tu opinión en mi casa</t>
  </si>
  <si>
    <t>https://twitter.com/AndreaDeclap/status/1070817531517128704
https://twitter.com/MissMunchhausen/status/1070219966769709056</t>
  </si>
  <si>
    <t>Movidas y vainas locas.</t>
  </si>
  <si>
    <t>https://vimeo.com/ivanadriancalderon</t>
  </si>
  <si>
    <t>Construyendo Exitos [4,6K]</t>
  </si>
  <si>
    <t>Si @Albert_Rivera quiere hablar con @vox_es ha llegado el momento para @vox de prestar extrema atención al personaje y sus intenciones claroscuras. RT @voz_populi: Rivera acepta dialogar con Vox tras un intenso debate interno en Ciudadanos</t>
  </si>
  <si>
    <t>https://twitter.com/voz_populi/status/1070717255804248065
https://buff.ly/2BT7gb0</t>
  </si>
  <si>
    <t>constanza</t>
  </si>
  <si>
    <t>Albert Rivera no debería sorprenderse si pierde votantes y afiliados, muchos ya se lo han advertido. RT @numer344: Albert Rivera prefiere Gobernar en Andalucia con la abstención del PSOE que con el apoyo explícito de VOX. Grave error estratégico. Da síntomas del tradicional complejo del centro-derecha de este país. Muchos de sus votantes no lo entenderán. Allá él.</t>
  </si>
  <si>
    <t>● Cuerpo mental funcionando y capaz de grandes cosas. ● Mi currículum: De España 🇪🇸 Desde siempre y para siempre: Español</t>
  </si>
  <si>
    <t>La perversión ajena no legitima la propia.</t>
  </si>
  <si>
    <t>Luis Garicano</t>
  </si>
  <si>
    <t>Fabulosa explicación de @Albert_Rivera. Frente a los gritones del "lo quiero todo y lo quiero ahora" la Constitución es un consenso y por eso requiere renuncias de todos. Hay que hacer frente decididamente a los que buscan tirar nuestra convivencia a la basura RT @Albert_Rivera: Nacionalismo y populismo son hoy las mayores amenazas a España y a Europa. Iglesias ataca diariamente a la Constitución y a la Jefatura del Estado. Yo si tengo que escoger entre él o Felipe VI... Qué queréis que os diga 😉 #40AñosDeConstitución</t>
  </si>
  <si>
    <t>London</t>
  </si>
  <si>
    <t>Resp Economía y Empleo, Ciudadanos. Full Prof. of Econ.&amp;Strat., IE. Visiting Prof. Econ&amp;Strat, ChicagoBooth. Prev. Full Prof at ChicagoBooth, LSE.</t>
  </si>
  <si>
    <t>https://scholar.google.com/citations?user=rjnKsr8AAAAJ&amp;hl=en</t>
  </si>
  <si>
    <t>Linares 9ª Provincia</t>
  </si>
  <si>
    <t>#Andújar: Rivera rechaza el "guerracivilismo" porque no ve "enemigos" en la izquierda ni la derecha, sólo "compatriotas"</t>
  </si>
  <si>
    <t>LiberMind</t>
  </si>
  <si>
    <t>https://ift.tt/2RBQDWN</t>
  </si>
  <si>
    <t>Claro!! Pero sin olvidar los Cordones sanitarios para @vox_es "amigo" @Albert_Rivera, no sea que seamos libres demócratas pero en demasía y @Igarrigavaz y CIA os den un repasito electoral... #VoxAvanza #VoxValientes #VOXÚtil #Vox #EspañaViva #EspañaSeDefiende #EspañaLoPrimero RT @Albert_Rivera: Celebramos #40AñosDeConstitución⁠ ⁠⁠en Barcelona con @InesArrimadas y @manuelvalls y algunos pretenden que no tengamos derecho de reunión ni libertad para defender la igualdad y la unión. Esto es lo que he grabado: la cara del nacionalismo frente a la democracia.</t>
  </si>
  <si>
    <t>Linares</t>
  </si>
  <si>
    <t>https://twitter.com/Albert_Rivera/status/1070427138782826498</t>
  </si>
  <si>
    <t>Por nuestra sangre minera, no seguiremos permitiendo que se nos robe nuestra identidad. Llegó el momento de poner fin a dos siglos de ocupación y de imposición.</t>
  </si>
  <si>
    <t>http://www.linaresnovenaprovincia.wordpress.com</t>
  </si>
  <si>
    <t>pic.twitter.com/iI5y6UxSuX</t>
  </si>
  <si>
    <t>Liberal, conservador, demócrata y espaÑol: ¡El sueño de la razón produce monstruos!</t>
  </si>
  <si>
    <t>#23CopasDeEuropa#916#</t>
  </si>
  <si>
    <t>Ciudadanos lo tiene fácil. Si cubre al PSOE en vez de destrozarlo, los que le votamos los dejamos solos en las generales. @CiudadanosCs Preferimos que pactéis con el PP y VOX que con la izmierda. Vosotros sabréis amigos. @InesArrimadas @Albert_Rivera</t>
  </si>
  <si>
    <t>Kiev, Ucrania</t>
  </si>
  <si>
    <t>No hay Madrid de fútbol o baloncesto; 1 camiseta blanca, 1 escudo redondito y 23 Copas de Europa #Tabarnia // Del RM y simpatizante del #RCDE y #UDAlmería</t>
  </si>
  <si>
    <t>Dr.Flint</t>
  </si>
  <si>
    <t>Las emisiones de CO2 alcanzaran un nuevo record al final de 2018, la inversion de España en I+D sigue por debajo de la media de la UE, a que esperamos para remediar esto? @sanchezcastejon @Albert_Rivera @Pablo_Iglesias_ @pablocasado_</t>
  </si>
  <si>
    <t>Si estas cansado de la manipulación, las mentiras y las propuestas vacías. Por la tecnología, la justicia y la igualdad</t>
  </si>
  <si>
    <t>Antonio S. Amorós</t>
  </si>
  <si>
    <t>#Naranjitos por Madrid. Celebrando los #40AñosDeConstitución @CsRegionMurcia @Cs_LasTorres @Albert_Rivera @ESPCiudadana @CiudadanosCs</t>
  </si>
  <si>
    <t>https://pbs.twimg.com/media/Dtv0upJW4AA_Cuh.jpg</t>
  </si>
  <si>
    <t>Las Torres de Cotillas, España</t>
  </si>
  <si>
    <t>«Daría todo lo que sé por la mitad de lo que ignoro» René Descartes</t>
  </si>
  <si>
    <t>Freya</t>
  </si>
  <si>
    <t>Y la oposición callando a todo @pablocasado_ @Albert_Rivera Todos están demostrando ser lo mismo! Qué penoso!!! RT @Bilbaina27: El Gobierno pagará la universidad a los estudiantes marroquíes. Señor @sanchezcastejon los españoles trabajando como esclavos para que nuestros hijos vayan a la universidad y usted (con nuestro dinero) se la paga a los marroquíes??  via @MediterraneoDGT</t>
  </si>
  <si>
    <t>https://twitter.com/Bilbaina27/status/1070405724969295874
https://www.mediterraneodigital.com/espana/internacional/el-gobierno-pagara-la-universidad-a-los-estudiantes-marroquies.html</t>
  </si>
  <si>
    <t>GranadaDigital</t>
  </si>
  <si>
    <t>.@Albert_Rivera dará prioridad a negociar con el @PPopular un Gobierno de “cambio” en Andalucía pero con @JuanMarin_Cs de presidente 👉</t>
  </si>
  <si>
    <t>https://goo.gl/5JB5ua</t>
  </si>
  <si>
    <t>https://pbs.twimg.com/media/DtsFykYXQAA59pc.jpg</t>
  </si>
  <si>
    <t>Diario decano digital de #Granada. Cumplimos 15 años!! https://www.facebook.com/GranadaDigital</t>
  </si>
  <si>
    <t>http://www.granadadigital.es/</t>
  </si>
  <si>
    <t>en equipo mejor¡¡</t>
  </si>
  <si>
    <t>Cuidar nuestra Constitución, por @Albert_Rivera @CiudadanosCs</t>
  </si>
  <si>
    <t>trabajador incansable. RRII @ciudadanos #Alicante #ATrabajar #Equiponaranja #Orgullonaranja.🇪🇸🍊🍊</t>
  </si>
  <si>
    <t>https://www.facebook.com/profile.php?id=100009985785539</t>
  </si>
  <si>
    <t>LUIS</t>
  </si>
  <si>
    <t>Amor a primera vista, o hasta el primer mordisco??? Lo nunca contado de la ‘íntima’ amistad entre Albert Rivera y Santiago Abascal</t>
  </si>
  <si>
    <t>🖋 Hoy @Albert_Rivera ha escrito un artículo para @larazon_es sobre la Constitución 👇 🗣 "Es de justicia reivindicarla y defenderla" 👉 Los constitucionalistas tenemos que defender y aplicar la Carta Magna, y no legitimar a sus adversarios. 🗞 Léelo en</t>
  </si>
  <si>
    <t>ESPAÑISTAN DEL SUR</t>
  </si>
  <si>
    <t>¡¡VIVA LA LIBERTAD Y LA DEMOCRACIA¡¡¡¡¡</t>
  </si>
  <si>
    <t>JUSTA</t>
  </si>
  <si>
    <t>Mª del Carmen</t>
  </si>
  <si>
    <t>Defender y actualizar nuestra Constitución  vía @20m</t>
  </si>
  <si>
    <t>http://www.citizengo.org/hazteoir/pc/167099-al-psoe-ni-agua-sr-rivera?tc=tw&amp;tcid=52559014</t>
  </si>
  <si>
    <t>https://www.20minutos.es/noticia/3508559/0/albert-rivera-defender-nuestra-constitucion/?utm_source=twitter.com&amp;utm_medium=socialshare&amp;utm_campaign=mobile_web</t>
  </si>
  <si>
    <t>TENGO UN GRAN SENTIDO DE LA JUSTICIA Y UNA COSA MUY CLARA: ¡¡QUIEN NO QUIERA A ESPAÑA....QUE SE VAYA!!</t>
  </si>
  <si>
    <t>Activa,independiente y resolutiva. Concejala en @CsAlbolote.</t>
  </si>
  <si>
    <t>Jordi García 🎗</t>
  </si>
  <si>
    <t>Se pasan un año insultando y acusando a TV3 de manipulación. Se van a Andalucía a seguir insultándonos y acusando a TV3 de manipulación. Se olvidaron de explicar esto durante la campaña. No podéis ser más rastreros, @InesArrimadas @Albert_Rivera</t>
  </si>
  <si>
    <t>https://pbs.twimg.com/media/DtvuHXBW0AEnhFb.jpg</t>
  </si>
  <si>
    <t>República de Catalunya</t>
  </si>
  <si>
    <t>Por increíble que le parezca a mi tutor del instituto, me gano la vida escribiendo. Dirijo @haztequeer y pongo música en fiestas.</t>
  </si>
  <si>
    <t>http://haztequeer.com</t>
  </si>
  <si>
    <t>Alberto Sanz Blanco</t>
  </si>
  <si>
    <t>Puigdemont aplaude el escrache contra @CiudadanosCs @Albert_Rivera y @manuelvalls El expresidente de la Generalitat da su apoyo a los manifestantes que increparon a los asistentes al acto  vía @cronicaglobal</t>
  </si>
  <si>
    <t>https://cronicaglobal.elespanol.com/politica/puigdemont-aplaude-escrache-ciudadanos_204975_102.html</t>
  </si>
  <si>
    <t>Periodista y analista político. Crítico artístico en @canalhablamos. Informado @telediario_tve opinado @abc_es Antes @Inforadio_UCM Sígueme y sabrás qué pienso</t>
  </si>
  <si>
    <t>http://albertosanzblanco.wordpress.com</t>
  </si>
  <si>
    <t>Galicia</t>
  </si>
  <si>
    <t>#Política: Pablo Casado y Albert Rivera buscan un acuerdo “de 47 escaños” para gobernar Andalucía. ¿Y #Vox?  vía @mundiario</t>
  </si>
  <si>
    <t>https://www.mundiario.com/articulo/politica/casado-ofrecer-consejerias-vox-excluirlo-negociacion/20181206212826140000.html</t>
  </si>
  <si>
    <t>Desde A Coruña (Ñ, UE)</t>
  </si>
  <si>
    <t>Twitter de Galicia, Mundiario de la Eurorregión con el norte de Portugal.</t>
  </si>
  <si>
    <t>https://www.mundiario.com/seccion/galicia</t>
  </si>
  <si>
    <t>Más influyentes ahora en Derecha/Centro Dcha.: ➀ @FrayJosepho ↓ ➁ @dlacalle ↓ ➂ @ANDRES_CANO42 ↑ ➃ @voxnoticias_es ↑ ➄ @yolandacmorin ↑ ➅ @Albert_Rivera ↑ ➆ @carloscuestaEM ↑ ➇ @pablocasado_ ↓ ➈ @jordi_canyas ↓</t>
  </si>
  <si>
    <t>🔊 @Albert_Rivera "El bipartidismo del #PPSOE se ha llevado el mayor batacazo de su historia en Andalucía. Cs no para de crecer cada vez que se abren las urnas" en @rne #40AñosDeConstitución</t>
  </si>
  <si>
    <t>El francés Manuel Valls era el fichaje estrella de C's para esta temporada, pero no contaban con el ascenso a primera división de VOX, y ahora quiere fichar a su líder, Abascal, pero el francés dice q no tienen el mismo sistema de juego, el entrenador Albert Rivera,tiene q elegir</t>
  </si>
  <si>
    <t>pic.twitter.com/FRLuxH0BWu</t>
  </si>
  <si>
    <t>Diario de Cádiz</t>
  </si>
  <si>
    <t>El futuro de Andalucía: @pablocasado_ dice ahora que su interlocutor es @CiudadanosCs y propone a @albert_rivera "optimizar el espacio electoral": que busque crecer por el centroizquierda y aprovechar el "nicho de mercado" y el "campo tremendo".</t>
  </si>
  <si>
    <t>http://ddsevilla.info/l3po42</t>
  </si>
  <si>
    <t>Cádiz</t>
  </si>
  <si>
    <t>Diario de Cádiz. Decano de la prensa andaluza. Fundado en 1867</t>
  </si>
  <si>
    <t>http://www.diariodecadiz.es/</t>
  </si>
  <si>
    <t>francisco alcaraz</t>
  </si>
  <si>
    <t>Albert Rivera asegura que "la mejor reforma de la Constitución es aplicarla" y pide consensos -  #GoogleAlerts</t>
  </si>
  <si>
    <t>http://goo.gl/alerts/ykVDo</t>
  </si>
  <si>
    <t>INTENDENTE MERCANTIL, SIN DISCIPLINA DE PARTIDO,VIAJERO,NATURAL DE JOILANDIA , MASTER EN DERECHO TRIBUTARIO Y ASESORIA FISCAL</t>
  </si>
  <si>
    <t>🔊 @Albert_Rivera "Por fin en Andalucía hay un cambio; 40 años de PSOE son demasiado. Cs va a sentarse con el PP para negociar un gobierno con nuevas políticas y nuevas personas. El PSOE debe asumir su derrota y estar en la oposición" en @rne #40AñosDeConstitución</t>
  </si>
  <si>
    <t>pic.twitter.com/4njlvLDIZY</t>
  </si>
  <si>
    <t>Susana Díaz reta a Albert Rivera a aclarar si ante Vox actuará como el presidente Macron o como . -  #GoogleAlerts</t>
  </si>
  <si>
    <t>http://goo.gl/alerts/Fzwr9</t>
  </si>
  <si>
    <t>Marisa Piqueras</t>
  </si>
  <si>
    <t>. @pablocasado_ aconseja a @Albert_Rivera buscar votos en el centro-izquierda para sumar juntos mayoría absoluta "en seis meses o en un año"</t>
  </si>
  <si>
    <t>https://bit.ly/2B6pXGX</t>
  </si>
  <si>
    <t>Abderitana en Madrid. Siempre al pie de la noticia para la agencia @europapress Primero en el Congreso de los Diputados y ahora siguiendo al PP.</t>
  </si>
  <si>
    <t>🔊 @Albert_Rivera "La sanidad y la educación son competencias compartidas entre autonomías y Estado, pero el Estado no está haciendo su trabajo. Si lo hiciera, aplicaría la Alta Inspección del Estado y existiría una Tarjeta Sanitaria Única" en @rne #40AñosDeConstitución</t>
  </si>
  <si>
    <t>pic.twitter.com/KKLFODO8uY</t>
  </si>
  <si>
    <t>мαтнευѕ ƒαriαѕ</t>
  </si>
  <si>
    <t>citoyen du monde</t>
  </si>
  <si>
    <t>ars et scientia</t>
  </si>
  <si>
    <t>Miguel MuñozIbarrola</t>
  </si>
  <si>
    <t>Y eso de que gobierne la lista más votada ya se nos ha olvidado @JuanMarin_Cs @Albert_Rivera @CiudadanosCs? #Andalucia #Somoslaizquierda RT @JuanMarin_Cs: Los andaluces votaron cambio el 2D. Por ello, hoy hemos decidido en la #EjecutivaCs que el PSOE debe ir a la oposición y que será Cs, conmigo al frente, quien lidere el cambio que necesita #Andalucía. Abriremos negociación con el PP para que esto suceda. Ahora sí, cambio.</t>
  </si>
  <si>
    <t>https://twitter.com/juanmarin_cs/status/1070326961640235008</t>
  </si>
  <si>
    <t>José Luis Portela</t>
  </si>
  <si>
    <t>Gabriel cisneros, Miguel Herrero de Miñón, jose pedro perez-llorca, Gregorio peces barba, Jordi Solé, Manuel Fraga y Miguel Roca VERSUS Pedro Sánchez, Casado, Albert Rivera, Pablo Iglesias, Gabriel Rufián, Santiago Abascal, Joaquim Torra No digo mas... #ConstitucionEspanola</t>
  </si>
  <si>
    <t>Alegre y optimista. De Pamplona y viviendo en Madrid. Militante del @PSOE</t>
  </si>
  <si>
    <t>Director Prog. Dirección Estratégica Proyectos IE Business School. Socio MAGTALENT. Profesor asociado Financial Times / IE. Interim Management Outplacement</t>
  </si>
  <si>
    <t>http://www.joseluisportela.com</t>
  </si>
  <si>
    <t>🔊 @Albert_Rivera "Antes de reformar la Constitución, lo más importante es aplicarla y defenderla en toda España. Para una reforma hay que llegar a consensos entre constitucionalistas" en @rne #40AñosDeConstitución</t>
  </si>
  <si>
    <t>pic.twitter.com/EQ6oUaJnjy</t>
  </si>
  <si>
    <t>JAE</t>
  </si>
  <si>
    <t>Los rumores están provocando una profunda brecha de descrédito en @CiudadanosCs @Albert_Rivera @JuanMarin_Cs</t>
  </si>
  <si>
    <t>https://pbs.twimg.com/media/DtvpjdzXcAAJa8Y.jpg</t>
  </si>
  <si>
    <t>No sólo eres responsable de lo que haces, sino también de lo que no haces, de lo que no defiendes y de lo que callas.</t>
  </si>
  <si>
    <t>📻 Esta tarde @Albert_Rivera ha sido entrevistado en "14 horas" de @rne 📲 A continuación te comentamos un resumen de su intervención.</t>
  </si>
  <si>
    <t>Rivera rechaza el "guerracivilismo" porque no ve "enemigos" en la izquierda ni la derecha, sólo . -  #GoogleAlerts</t>
  </si>
  <si>
    <t>https://pbs.twimg.com/media/DtvhlR7WoAAEzmk.jpg</t>
  </si>
  <si>
    <t>http://goo.gl/alerts/XNgAF</t>
  </si>
  <si>
    <t>Charles Ablett</t>
  </si>
  <si>
    <t>Albert Rivera. Entrevista en "14 horas" de RNE en el Día de la Constitución  via @YouTube</t>
  </si>
  <si>
    <t>Sant Just, Tabarnia, Spain</t>
  </si>
  <si>
    <t>Opposed to Catalan separatism and its increasingly neo-fascist-like tendencies. Nascut a Londres de mare catalana i pare gal•lès. Casat amb una catalana.</t>
  </si>
  <si>
    <t>José Muñoz-Rojas</t>
  </si>
  <si>
    <t>Por favor, @Albert_Rivera, no pactéis con @vox_es!!. Iría en contra de todo lo que podría tener de bueno @CiudadanosCs, que es mucho. Solo comparar programas acongoja. Uno es razonado, preciso y mira al futuro. El otro es una colección de eslóganes nostálgicos e imprecisos.</t>
  </si>
  <si>
    <t>Alberto Javier G M-C</t>
  </si>
  <si>
    <t>Albert Rivera. Entrevista en "14 horas" de RNE en el Día de la Constitución  vía @YouTube</t>
  </si>
  <si>
    <t>Évora, Portugal</t>
  </si>
  <si>
    <t>Scientist in #rural_landscapes @ICAAM_UE embracing #complexity &amp; #uncertainty, #optimist, #green, #EUropean, father to #piaypepe, married to @ximena_maier</t>
  </si>
  <si>
    <t>http://www.dynamo.uevora.pt/</t>
  </si>
  <si>
    <t>Palma De Mallorca</t>
  </si>
  <si>
    <t>He estado al borde de la muerte pero sigo vivo.Porque? .Tengo algo importante que hacer ! Dejar un Gran País para mis hijos y unos grandes hijos para mi País!</t>
  </si>
  <si>
    <t>http://baleares.ciudadanos-cs.org/</t>
  </si>
  <si>
    <t>El tipico cuñao</t>
  </si>
  <si>
    <t>Fernando Alonso estaba en un equipo de color naranja, quería el podio pero su equipo sabía que no lo conseguiría, algo así pasa con @Albert_Rivera</t>
  </si>
  <si>
    <t>Mongolia Interior, República Popular China</t>
  </si>
  <si>
    <t>Realista de nacimiento.</t>
  </si>
  <si>
    <t>Jerónimo Tristante</t>
  </si>
  <si>
    <t>Interesante artículo</t>
  </si>
  <si>
    <t>Rocco</t>
  </si>
  <si>
    <t>Albert,Albert... no te has enterado de nada. Allá tu!!! @Albert_Rivera RT @Pecoseta56: C's pacta con PSOE y Podemos librar a Sánchez de explicar su tesis ‘fake’ en la Asamblea de Madrid</t>
  </si>
  <si>
    <t>Víctor Ros#Alsina# El Valle de las sombras# El gran robo del oro español# El misterio de la casa Aranda# El caso de la viuda negra# Tornell# Alemán</t>
  </si>
  <si>
    <t>https://twitter.com/Pecoseta56/status/1070428644294696961
https://okdiario.com/espana/madrid/2018/12/05/cs-pacta-psoe-podemos-librar-sanchez-explicar-tesis-fake-asamblea-madrid-3432942#.XAhB9eC6B_I.twitter</t>
  </si>
  <si>
    <t>Pilar García Flores</t>
  </si>
  <si>
    <t>La CE es la Garantía de Convivencia en Libertad para nuestra Nación #40AñosdeConstitucion Suprema Expresión de la Voluntad Popular #ConstitucionEspañola La mas importa en la Jerarquía Normativa @Albert_Rivera @InesArrimadas @CiudadanosCs @Cs_Madrid @CsPozuelo @Cs_Europa @Europarl</t>
  </si>
  <si>
    <t>https://pbs.twimg.com/media/Dtvj-auXQAM-VIM.jpg</t>
  </si>
  <si>
    <t>Desnudando Ciudadanos</t>
  </si>
  <si>
    <t>Lapidario. @ErnestoEkaizer: “No confiaría en los principios de Albert Rivera porque no creo que los tenga...”👇 RT @ErnestoEkaizer: #Rac1 Ekaizer&amp;Clapés: “No confiaría en los principios de Albert Rivera porque no creo que los tenga...” @rac1</t>
  </si>
  <si>
    <t>https://twitter.com/ErnestoEkaizer/status/1070386110625431552
http://shr.gs/cs5773P</t>
  </si>
  <si>
    <t>Pozuelo de Alarcón, España</t>
  </si>
  <si>
    <t>Abogada, trabajadora e ilusionada🍊Para los cobardes,el futuro es incierto, para los valientes,es una oportunidad "</t>
  </si>
  <si>
    <t>Ni de izq ni de dcha... IBEX35</t>
  </si>
  <si>
    <t>Albert Rivera se presentó por primera vez desnudo y el IBEX 35 lo vistió. Entre todos lo iremos desnudando hasta que vuelva a estarlo.</t>
  </si>
  <si>
    <t>Alfil Valiente</t>
  </si>
  <si>
    <t>¿Pero Albert Rivera es centroderecha o socialdemocracia? Cs es una partido ambigüo que puede ser una cosa o la otra en función de su interés electoral. RT @numer344: Albert Rivera prefiere Gobernar en Andalucia con la abstención del PSOE que con el apoyo explícito de VOX. Grave error estratégico. Da síntomas del tradicional complejo del centro-derecha de este país. Muchos de sus votantes no lo entenderán. Allá él.</t>
  </si>
  <si>
    <t>Dani Garrido</t>
  </si>
  <si>
    <t>Esperando la "rotunda condena" de @Albert_Rivera ... RT @publico_es: “Chinica”, “soy más que tú”: el vídeo de un altercado racista en un bazar de Archena</t>
  </si>
  <si>
    <t>https://twitter.com/publico_es/status/1070566507950747650
https://www.publico.es/tremending/2018/12/05/chinica-soy-mas-que-tu-el-video-de-un-altercado-racista-en-un-bazar-de-archena/?utm_source=twitter&amp;utm_medium=social&amp;utm_campaign=publico</t>
  </si>
  <si>
    <t>https://pbs.twimg.com/media/Dtrw1A-WoAEzQRH.jpg</t>
  </si>
  <si>
    <t>Todo lo que manda el Rey, que va contra lo que Dios manda, no tiene valor de Ley, ni es Rey quien así se desmanda. Lope de Vega</t>
  </si>
  <si>
    <t>SUNTANNING</t>
  </si>
  <si>
    <t>(Antonio) Fuentes</t>
  </si>
  <si>
    <t>¿Ahora busca el apoyo de izquierdas señor @Albert_Rivera? 🤔 Si tanto apoya a nuestro cine, haga que su partido tome medidas para protegerlo 😉 RT @Albert_Rivera: Enhorabuena a Penélope Cruz y Antonio Banderas, nominados a los Globos de Oro por cuarta vez. Dos grandes de nuestro cine que no paran de coleccionar éxitos. ¡Mucha suerte! 👏🏻👏🏻👏🏻 #GoldenGlobes</t>
  </si>
  <si>
    <t>Fabricante de Solariums con rayos uva y la ultima novedad Solariums con tubos COLAGENO para rejuvenecer la piel</t>
  </si>
  <si>
    <t>http://www.suntanningsl.com</t>
  </si>
  <si>
    <t>https://twitter.com/Albert_Rivera/status/1070676769122988032
https://www.elespanol.com/cultura/cine/20181206/penelope-cruz-antonio-banderas-nominados-globos-oro/358714492_0.html</t>
  </si>
  <si>
    <t>Búscame por Fuentes.</t>
  </si>
  <si>
    <t>No me suelo definir en pocas palabras. Graduado en Comunicación audiovisual y futuro realizador cinematográfico.</t>
  </si>
  <si>
    <t>Radio Nacional</t>
  </si>
  <si>
    <t>#40ConstitucionRTVE | @Albert_Rivera: "Antes de reformar la Constitución hay que defenderla". #40añosdeConstitución 🔊</t>
  </si>
  <si>
    <t>🎄Jaime Ballesteros🎄</t>
  </si>
  <si>
    <t>Información veraz como decir que Albert Rivera se droga y le hacen controles antidrogas. Me da que a R2 le han formateado. RT @pnique: Junto con la educación, la INFORMACIÓN VERAZ es uno de los requisitos más fundamentales para tener una sociedad democrática y justa. Por eso te recomiendo este debate en @Fort_Apache_. Es tarea colectiva y también personal el no dejarnos engañar.</t>
  </si>
  <si>
    <t>http://rtve.es/a/4876500</t>
  </si>
  <si>
    <t>https://pbs.twimg.com/media/DtvdBn6WsAAPgX-.jpg</t>
  </si>
  <si>
    <t>https://twitter.com/pnique/status/1070779744873000960
https://www.youtube.com/watch?v=Ce0beb0sU70</t>
  </si>
  <si>
    <t>Móstoles, Madrid, España</t>
  </si>
  <si>
    <t>Personalidad demasiado introvertida, pero si logro abrirme, es distinto. Social Media, Gamer, Pokemaníaco (a mucha honra), #LET.</t>
  </si>
  <si>
    <t>http://www.youtube.com/channel/UCGA1_eec552ZWn41Fzl5x5A/videos</t>
  </si>
  <si>
    <t>El canal para conocer todas las noticias de la programación de Radio Nacional de España.</t>
  </si>
  <si>
    <t>http://www.rne.es/</t>
  </si>
  <si>
    <t>Diεgo dε Schouwεr</t>
  </si>
  <si>
    <t>Información veraz, dice el que acusó a Albert Rivera de saltarse en el aeropuerto un control de drogas adjuntando una noticia que solo hablaba de control de sustancias explosivas. RT @pnique: Junto con la educación, la INFORMACIÓN VERAZ es uno de los requisitos más fundamentales para tener una sociedad democrática y justa. Por eso te recomiendo este debate en @Fort_Apache_. Es tarea colectiva y también personal el no dejarnos engañar.</t>
  </si>
  <si>
    <t>Más comentados ahora en Derecha/Centro Dcha.: ➀ @FrayJosepho ↓ ➁ @agarzon ↓ ➂ @sanchezcastejon ↓ ➃ @dlacalle ↓ ➄ @ANDRES_CANO42 ↓ ➅ @PPopular ↓ ➆ @ahorapodemos ↓ ➇ @pablocasado_ ↑↑ ➈ @Albert_Rivera ↓</t>
  </si>
  <si>
    <t>Macondo</t>
  </si>
  <si>
    <t>Classical liberalism, humanism, republicanism, rationalism, atheism, radicalism | @Einseguros</t>
  </si>
  <si>
    <t>ContraTodoPoder</t>
  </si>
  <si>
    <t>El día que sometieron a Albert Rivera a la máquina de la verdad se fundieron los plomos. #Ciudadanos #mentirasverdaderas #Politica</t>
  </si>
  <si>
    <t>Santa Cruz de Tenerife, Spain</t>
  </si>
  <si>
    <t>Canal para reflexionar sobre el mundo de la política, la cultura y el deporte. Experto en periodismo, edición y escritor.</t>
  </si>
  <si>
    <t>Más influyentes ahora en Derecha/Centro Dcha.: ➀ @FrayJosepho ↓ ➁ @dlacalle ↓ ➂ @ANDRES_CANO42 ↓ ➃ @pablocasado_ ↑↑ ➄ @voxnoticias_es ↓ ➅ @Albert_Rivera ↓ ➆ @jordi_canyas ↑ ➇ @currusquita ↓ ➈ @eltivipata ↓</t>
  </si>
  <si>
    <t>Edad Media</t>
  </si>
  <si>
    <t>Dr @sanchezcastejon, Sras. @LolaDelgadoG, @carmencalvo_ Sr @Albert_Rivera algo de información por si hoy están aburridos.</t>
  </si>
  <si>
    <t>https://pbs.twimg.com/media/Dtvbi0KX4AYEJXE.jpg</t>
  </si>
  <si>
    <t>Tengo únicamente una neurona activa y, últimamente, cabreada. En fin, con ella tengo que vivir.</t>
  </si>
  <si>
    <t>Jesús Blas 🎗</t>
  </si>
  <si>
    <t>Representantes de la extrema derecha en España: desde siempre @Santi_ABASCAL @vox_es y @Albert_Rivera @CiudadanosCs y el actual @PPopular de @pablocasado_ Franquistas bajo el abrigo del dictador ... con la colaboración de sus herederos de la @CasaReal</t>
  </si>
  <si>
    <t>FRANCISCO FLORES</t>
  </si>
  <si>
    <t>https://pbs.twimg.com/media/DtvZKAqX4AAPyUO.jpg</t>
  </si>
  <si>
    <t>Me explico por la curiosidad, me encelan la amistad y el conocimiento y mantengo mis convicciones con la vital certeza de la duda.</t>
  </si>
  <si>
    <t>http://page.is/francisco-flores</t>
  </si>
  <si>
    <t>Santa Perpètua de Mogoda</t>
  </si>
  <si>
    <t>Sarrià, Les Corts, Mollet del Vallès i Santa Perpètua de Mogoda - Telecomunicacions - Electrònica - Per la #RepúblicaCatalana</t>
  </si>
  <si>
    <t>https://pbs.twimg.com/media/DtvZremWoAAQ4kE.png</t>
  </si>
  <si>
    <t>Sr @Albert_Rivera lo sabía usted? Estoy convencido que no, de otra forma no podría entender que pretendiera nombrarlo Presidente del Gobierno de Andalucía.</t>
  </si>
  <si>
    <t>https://pbs.twimg.com/media/DtvZr84WoAAEa4V.jpg</t>
  </si>
  <si>
    <t>trile 1. m. Juego callejero de apuestas fraudulentas que consiste en adivinar en qué lugar de tres posibles se encuentra una pieza manipulada. trilero 1. m. Tahúr que dirige el juego del trile. 2. Albert Rivera</t>
  </si>
  <si>
    <t>Victor Aguirre</t>
  </si>
  <si>
    <t>Buenos días, @sanchezcastejon @RevillaMiguelA @pablocasado_ @Albert_Rivera</t>
  </si>
  <si>
    <t>pic.twitter.com/jsov0IgpEt</t>
  </si>
  <si>
    <t>siempre llevando la contraria</t>
  </si>
  <si>
    <t>Tania Crespo</t>
  </si>
  <si>
    <t>Hay personas mentirosas, incoherentes, oportunistas y Albert Rivera. RT @miguel_delarosa: 🤔 ¿Os acordáis cuando @Albert_Rivera decía que votaría que no a quien intente formar un grupo de perdedores para desbancar a la lista más votada? Porque él no lo recuerda</t>
  </si>
  <si>
    <t xml:space="preserve"> Valencia</t>
  </si>
  <si>
    <t>Me encanta mi familia, adoro Valencia. Socialista por convicción.</t>
  </si>
  <si>
    <t>matrix 🇸🇪🎗❤️💛💜</t>
  </si>
  <si>
    <t>Para expulsar al PSOE de la Junta, la extrema derecha exige que Albert Rivera y Pablo Casado degraden Andalucía</t>
  </si>
  <si>
    <t>https://pbs.twimg.com/media/DtwypkDWoAAVEd4.jpg</t>
  </si>
  <si>
    <t>Republicana. Atea. Hasta el moño de las injusticias y la Postverdad</t>
  </si>
  <si>
    <t>jordi veixa</t>
  </si>
  <si>
    <t>Os gusta perder VOTOS... @InesArrimadas @ReinaSonia @Albert_Rivera @GirautaOficial RT @qqqqetru: LOS PLANES DE RIVERA. QUIEREN GOBERNAR Y BLANQUEAR AL PSOE CON LA ABSTENCIÓN DE PODEMOS. VERGÜENZA Y ENGAÑO A LOS VOTANTES.</t>
  </si>
  <si>
    <t>Tiembla Andalucía: Vox desvela sus 10 exigencias a PP y Ciudadanos via @El_Plural  Para expulsar al PSOE de la Junta, la extrema derecha exige que Albert Rivera y Pablo Casado degraden Andalucía</t>
  </si>
  <si>
    <t>https://twitter.com/qqqqetru/status/1070168156386328576</t>
  </si>
  <si>
    <t>https://www.elplural.com/politica/vox-exige-a-pp-y-cs-que-andalucia-deje-de-ser-una-realidad-nacional_207636102</t>
  </si>
  <si>
    <t>https://pbs.twimg.com/media/DtoAQsFWoAAm2y7.jpg</t>
  </si>
  <si>
    <t>Miami Gardens, Florida, EEUU</t>
  </si>
  <si>
    <t>I love my Land Catalonia, My Country Spain, Adopted in USA, My Second Homeland Proud to be Catalan &amp; SPANISH 🇺🇸🇪🇸</t>
  </si>
  <si>
    <t>Sevilla Sevilla</t>
  </si>
  <si>
    <t>David Fernández Vila</t>
  </si>
  <si>
    <t>#40AñosDeConstitución La vicepresidenta @carmencalvo_, @pablocasado_, @Pablo_Iglesias_ y @Albert_Rivera en el diario de las dos @rne con @ana_sterling @parlamento_rne</t>
  </si>
  <si>
    <t>Trabajador en el campo andaluz y socialista ✊🏻👈🏻</t>
  </si>
  <si>
    <t>https://pbs.twimg.com/media/DtvT_-HX4AA9ie6.jpg</t>
  </si>
  <si>
    <t>Antonio Ruiz Giménez</t>
  </si>
  <si>
    <t>Periodista. Ahora en la redacción parlamentaria de @RNE. Antes superé la crisis en la sección de Economía.</t>
  </si>
  <si>
    <t>Tarifa (Cádiz)</t>
  </si>
  <si>
    <t>Accitano de nacimiento y tarifeño de adopción. Casado con Ana Mª Giráldez Álvarez. Maestro de escuela jubilado. Militante del PSOE.</t>
  </si>
  <si>
    <t>http://amruizg.blogspot.com</t>
  </si>
  <si>
    <t>Tabarnia🇪🇺</t>
  </si>
  <si>
    <t>Lo q lees en Catalunya. Inmersión lingüística. Fridum fo Catalunya #catalunya #inmersionlinguistica @gabrielrufian @Albert_Rivera @Societatcc</t>
  </si>
  <si>
    <t>https://pbs.twimg.com/media/DtvTsJlWsAAfFD7.jpg</t>
  </si>
  <si>
    <t>Resistencia pacífica desde una tierra secuestrada por nacionalistas radicales. Economista y luchador por la democracia en #Tabarnia</t>
  </si>
  <si>
    <t>FranKrostirador</t>
  </si>
  <si>
    <t>El PSOE no es izquierda moderada. El PSOE ha provocado, promovido y financiado todos y cada uno de los males de España. El PSOE causó una guerra entre hermanos. El PSOE ha robado más que nadie. Si Logiadanos les salva el culo, será la muerte política de Albert Rivera.</t>
  </si>
  <si>
    <t>Buenas tardes @CasaReal , @sanchezcastejon , @pablocasado_ , @Albert_Rivera , @InesArrimadas , @Santi_ABASCAL. Con la misma vehemencia con la que MUY GUSTOSAMENTE os insultaría...os pido, POR FAVOR, que paréis esto.  ¡¡¡Sois ESCORIA!!! "GRACIAS". #FemXarxaRT @alwaysfree86: Mi desahucio terminará de la peor de las maneras..SUICIDIO @galceran_montse @ManuelaCarmena @provivienda_org @emvsmadrid @La1_tve @antena3com @cuatro @telemadrid @telecincoes @laSextaTV @MADRID @ComunidadMadrid @JMDTetuan @Tetuan30Dias @Invisibles_T @OSTetuan</t>
  </si>
  <si>
    <t>Soy el hijo que Twitter querría. Marroquí Trans, Comunisti Podemiti, Islamista, Guardiolista, Feminista, veo La Sexta, escucho la SER y hago vudú a Federico.</t>
  </si>
  <si>
    <t>X_Belbar</t>
  </si>
  <si>
    <t>De aquí a un año Bea está haciendo mítines con Albert Rivera. Al tiempo. RT @BeatrizTalegon: @gallifantes Claro que si, Guapi. Tenéis presos políticos haciendo huelga de hambre y defiendo la vía no violenta y en lugar de ir todos a una, estáis los guays. Ole 🙌🏻</t>
  </si>
  <si>
    <t>https://twitter.com/BeatrizTalegon/status/1070741767971094528</t>
  </si>
  <si>
    <t>地球</t>
  </si>
  <si>
    <t>Androide veterano de la Red Ribbon Army. Si no hay tebeos, no es mi revolución.</t>
  </si>
  <si>
    <t>Más comentados ahora en Derecha/Centro Dcha.: ➀ @FrayJosepho ↓ ➁ @sanchezcastejon ↑ ➂ @dlacalle ↑ ➃ @ANDRES_CANO42 ↑ ➄ @agarzon ↑ ➅ @Albert_Rivera ↑ ➆ @PPopular ↓ ➇ @ahorapodemos ↓ ➈ @voxnoticias_es ↓</t>
  </si>
  <si>
    <t>Carlos Saenz Eíriz</t>
  </si>
  <si>
    <t>Más influyentes ahora en Derecha/Centro Dcha.: ➀ @FrayJosepho ↓ ➁ @dlacalle ↑ ➂ @ANDRES_CANO42 ↓ ➃ @Albert_Rivera ↑ ➄ @voxnoticias_es ↓ ➅ @currusquita ↑ ➆ @Nanchinho ↓ ➇ @AngelBaena5 ↓ ➈ @eltivipata ↓ ➉ @PPopular ↓</t>
  </si>
  <si>
    <t>Bilbao, España</t>
  </si>
  <si>
    <t>Ingeniero. Defensor de los #DerechosHumanos y la Transparencia. Apuesto x el #MedioAmbiente y las #EnergíasRenovables (Y me opongo totalmente a la #Corrupción)</t>
  </si>
  <si>
    <t>🐟 JL Ruiz Bartolome</t>
  </si>
  <si>
    <t>Acabo de oír en la radio a @Albert_Rivera diciendo q quiere acabar con el Senado. ¿Debemos colegir que @CiudadanosCs es anti constitucional?</t>
  </si>
  <si>
    <t>Quien no conoce a Dios a cualquier santo le reza. ن Escritor. Empresario del sector inmobiliario. Si buscas la Verdad, huye del consenso.</t>
  </si>
  <si>
    <t>Juan Pombar</t>
  </si>
  <si>
    <t>Para entender la magnitud del éxito de la Constitucion Española imaginad que hace 40 años se sentaron en la misma mesa Pablo Casado, Pedro Sánchez, Albert Rivera, Pablo Iglesias, Alberto Garzón, Gabriel Rufián y Santiago Abascal. Y llegaron a un acuerdo.</t>
  </si>
  <si>
    <t>📽 @Albert_Rivera "La Constitución es la garantía para que no haya un gobierno que te quite las libertades. Nuestro compromiso es defenderla y respetarla" #40añosdeConstitución</t>
  </si>
  <si>
    <t xml:space="preserve">Urantia </t>
  </si>
  <si>
    <t>Poeta en mis versos libres. Proyecto de optimista patológico. Doctorado en causas perdidas. Ciencia con piel de letra.</t>
  </si>
  <si>
    <t>http://www.pensamientosreducidos.es/</t>
  </si>
  <si>
    <t>pic.twitter.com/lveAuP2xLm</t>
  </si>
  <si>
    <t>Paco Bardes Panyagua</t>
  </si>
  <si>
    <t>DelMundo</t>
  </si>
  <si>
    <t>Antifascista. Republicano. El que quiera Iglesia que se la pague. las verdades NO las cuentan quienes nos mienten.</t>
  </si>
  <si>
    <t>http://contracobardes.blogspot.com.es/?m=1</t>
  </si>
  <si>
    <t>José María</t>
  </si>
  <si>
    <t>http://www.citizengo.org/hazteoir/pc/167099-al-psoe-ni-agua-sr-rivera?tc=tw&amp;tcid=52558896</t>
  </si>
  <si>
    <t>Marte</t>
  </si>
  <si>
    <t>Mala jugada de Albert Rivera... bajará a los mismos niveles de podemos, después de haber subido tanto RT @numer344: Albert Rivera prefiere Gobernar en Andalucia con la abstención del PSOE que con el apoyo explícito de VOX. Grave error estratégico. Da síntomas del tradicional complejo del centro-derecha de este país. Muchos de sus votantes no lo entenderán. Allá él.</t>
  </si>
  <si>
    <t>Demasiadas experiencias, persona siempre. Quiero lo mejor para el Real Madrid. Me molestan los que califican sin conocimiento de causa y piensan por uno.</t>
  </si>
  <si>
    <t>Luchando en la segunda independencia de #Venezuela. Fuera comunistas! Sígueme y te sigo</t>
  </si>
  <si>
    <t>❌نIberian Wolfن❌</t>
  </si>
  <si>
    <t>Nunca lo olvides @Albert_Rivera . Todo se paga en esta vida. RT @Viczuri: CD’s comete error antológico que causará daño irreversible. Tras campaña contra Susana Díaz. Ahora, siendo 3ª fuerza, quieren liderar el cambio. Pero, amenazan con nuevas elecciones, que pueden matar la oportunidad de laminar la corrupción. Delirante locura que pasará factura 🇪🇸</t>
  </si>
  <si>
    <t>Albert Rivera la tercera fuerza en Andalucía le pide al PSOE ganador que se abstenga. ¡¡Para mear y no echar gota!! Vaya tipejo....</t>
  </si>
  <si>
    <t>https://twitter.com/Viczuri/status/1070412527220219904</t>
  </si>
  <si>
    <t>https://pbs.twimg.com/media/DtreVhpX4AEypIK.jpg</t>
  </si>
  <si>
    <t>Alcobendas, España</t>
  </si>
  <si>
    <t>🇪🇸🇪🇸C.A.F.E. 🇪🇸🇪🇸 #VikingoMadrista #VigilanteDeSeguridad #AfiliadoVox... Si no te gusta mi País, lárgate. Respeta y te respeto.</t>
  </si>
  <si>
    <t>clío</t>
  </si>
  <si>
    <t>acaba de salir albert rivera en la primera y no veas con LA COCAÍNA</t>
  </si>
  <si>
    <t>Elsa Triguero</t>
  </si>
  <si>
    <t>En el acto por el 40 aniversario de la Constitución, @Albert_Rivera rechaza el "guerracivilismo" y dice que no ve "enemigos" en la izquierda ni en la derecha, sólo "compatriotas": "Es momento de sumar".</t>
  </si>
  <si>
    <t>Tenochtitlán</t>
  </si>
  <si>
    <t>i wish to reincarnate into a stone in my next life</t>
  </si>
  <si>
    <t>https://www.europapress.es/nacional/noticia-albert-rivera-dice-izquierda-derecha-no-hay-enemigos-compatriotas-20181206113859.html</t>
  </si>
  <si>
    <t>Periodista. Escribiendo sobre política (y lo que se tercie) e informando sobre @CiudadanosCs en @europapress.</t>
  </si>
  <si>
    <t>Heraldo de Aragón</t>
  </si>
  <si>
    <t>Especial #40AñosDeConstitución Por @pablocasado_ La Constitución de todos  Por @Albert_Rivera Defender y actualizar nuestra Constitución</t>
  </si>
  <si>
    <t>http://heral.do/tuqez1
http://heral.do/z4gfa</t>
  </si>
  <si>
    <t>Aragón, España</t>
  </si>
  <si>
    <t>Cuenta oficial de Heraldo de Aragón. Sigue toda la información de las tres provincias aragonesas http://facebook.com/heraldodearagon | http://instagram.com/heraldo_aragon</t>
  </si>
  <si>
    <t>http://www.heraldo.es</t>
  </si>
  <si>
    <t>Pedro GONZALEZ DE TENA</t>
  </si>
  <si>
    <t>🏛 Hoy se celebra en el Congreso los 40 años que cumple la Constitución. Albert Rivera: "Un día para defenderla en toda España, para mostrar agradecimiento a sus padres y también para mirar al futuro, a un nuevo proyecto común que vuelva a unir a todos los españoles".</t>
  </si>
  <si>
    <t>https://pbs.twimg.com/media/DtwlACwWoAAa_-L.jpg</t>
  </si>
  <si>
    <t>El bedel del Tuiter</t>
  </si>
  <si>
    <t>Hola @Albert_Rivera, RT @EPinternacional: Liberadas 32 mujeres detenidas en #Camboya por tráfico de personas por ejercer de madres subrogadas</t>
  </si>
  <si>
    <t>Santa Marta de Tormes, España</t>
  </si>
  <si>
    <t>Coordinador Grupo Ciudadanos. Concejal Excmo. Ayuntamiento de Santa Marta de Tormes. (Salamanca)</t>
  </si>
  <si>
    <t>https://twitter.com/EPinternacional/status/1070672841203441664
https://www.europapress.es/internacional/noticia-liberadas-32-mujeres-detenidas-camboya-trafico-personas-ejercer-madres-subrogadas-20181206143313.html</t>
  </si>
  <si>
    <t>Cs SantaMartaTormes</t>
  </si>
  <si>
    <t>CÁCERES</t>
  </si>
  <si>
    <t>Rojo, blasfemo, feminista y faltón. Hater desde 1984. Uno de esos tíos que se ponen pegado a la barra del fondo de los conciertos.</t>
  </si>
  <si>
    <t>https://pbs.twimg.com/media/Dtwkvy_XcAEMZyk.jpg</t>
  </si>
  <si>
    <t>Partido de la Ciudadanía en Santa Marta de Tormes. "No nos sigáis, acompañadnos. El cambio sois vosotros"</t>
  </si>
  <si>
    <t>https://ciudadanossantamarta.blogspot.com.es/</t>
  </si>
  <si>
    <t>Y con @vox_es , nada no ???? Bien...bien.... No te has enterado de nada @Albert_Rivera YA LO PAGARAS.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</si>
  <si>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Luis</t>
  </si>
  <si>
    <t>Mi repulsa a lo sucedido ayer con @Albert_Rivera en Barcelona pero realmente hacía falta que entrara con el móvil en la mano a grabar a los que le insultaba o es una forma más de provocación, para mí se lo podía haber ahorrado ya había bastantes cámaras por allí.</t>
  </si>
  <si>
    <t>Rafael Ruiz</t>
  </si>
  <si>
    <t>Lo nunca contado de la ‘íntima’ amistad entre Albert Rivera y Santiago Abascal.......................................... via @El_Plural</t>
  </si>
  <si>
    <t>Mi familia lo más importante de mi vida,Andaluz Orgulloso,El #SevillaFc mi pasión, #BeerLover y #CraftBeer ,Salud y República ❤️💛💜 Técnico de O&amp;M</t>
  </si>
  <si>
    <t>Ideólogo. La alternancia fecunda el suelo de la democracia.</t>
  </si>
  <si>
    <t>alberto pérez ferré</t>
  </si>
  <si>
    <t>Javier Lopez</t>
  </si>
  <si>
    <t>En el Día de la #Constitucion40 recuerdo mi carta abierta a Felipe de Borbón.  @CCOOMadrid @CCOO @UnaiSordo @jaimecedrun @nurialomar @sanchezcastejon @Albert_Rivera @Pablo_Iglesias_</t>
  </si>
  <si>
    <t>https://www.elplural.com/politica/lo-nunca-contado-de-la-intima-amistad-entre-albert-rivera-y-santiago-abascal_207666102_amp</t>
  </si>
  <si>
    <t>http://elblogdejavierlopez.com/carta-abierta-a-felipe-de-borbon/</t>
  </si>
  <si>
    <t>Alicante. Spain</t>
  </si>
  <si>
    <t>Socialista, Alcoyano y Culé. Me pierdo en el Golf, Opera, Libros y Florencia</t>
  </si>
  <si>
    <t>JM</t>
  </si>
  <si>
    <t>La destrucción es una forma de creación Albert Rivera</t>
  </si>
  <si>
    <t>Aprendiz en todo. Maestro de escuela. En la vida y en @CCOO</t>
  </si>
  <si>
    <t>http://elblogdejavierlopez.com</t>
  </si>
  <si>
    <t>Charming</t>
  </si>
  <si>
    <t>Real Madrid 7 champions + 1 de Europa + 5 torneos de verano =13 champions, Gibraltar es británico y Catalunya es una república, poseo 18 Masters reconstruidos</t>
  </si>
  <si>
    <t>https://www.youtube.com/watch?v=z6pF1CwjKpA</t>
  </si>
  <si>
    <t>José María Garrido</t>
  </si>
  <si>
    <t>¿Dónde se conocieron Albert Rivera y Santiago Abascal? ¿Quién presentó al líder de Vox y Ciudadanos? ¿Reconocieron alguna vez su buena relación? ¿Por qué se truncó su íntima amistad? ¿Cuánto hace que no hablan? Todas las respuestas en @El_Plural</t>
  </si>
  <si>
    <t>Eloisa@32437284</t>
  </si>
  <si>
    <t>Sanse (Madrid) - Rus (Jaén)</t>
  </si>
  <si>
    <t>Periodista y politólogo. Escribo en @El_Plural y @sansecomunica. Socio del Atleti. Si no me encuentras, búscame en Málaga.</t>
  </si>
  <si>
    <t>http://www.citizengo.org/hazteoir/pc/167099-al-psoe-ni-agua-sr-rivera?tc=tw&amp;tcid=52558609</t>
  </si>
  <si>
    <t>Ciudad Real, España</t>
  </si>
  <si>
    <t>Julietto Martinetto</t>
  </si>
  <si>
    <t>Dice @Albert_Rivera que el PSOE tiene que asumir la derrota. Pues no, no tiene que asumir nada. Se le echa y basta. PP+Ciudadanos+Vox. Y que el traidor asuma las consecuencias en futuras elecciones.</t>
  </si>
  <si>
    <t>Cansado del Marca y del As, de Segurola y de Caridad, y de tantos otros ciudadanos periodistas.</t>
  </si>
  <si>
    <t>Ciutadans</t>
  </si>
  <si>
    <t>🗞️@Albert_Rivera ha concedido una entrevista a @elpais_espana para hablar sobre los 40 años de la Constitución 👉🏼 El líder de Ciudadanos lamenta que la igualdad entre españoles se está desdibujando por la falta de coordinación ➡️¡No te la pierdas!👇🏼</t>
  </si>
  <si>
    <t>Francisco Castro</t>
  </si>
  <si>
    <t>Catalunya, Espanya</t>
  </si>
  <si>
    <t>Perfil Oficial de Ciutadans. Segueix-nos a FB: http://facebook.com/CiutadansCs/ i Telegram: https://t.me/CiutadansCs</t>
  </si>
  <si>
    <t>Vigo</t>
  </si>
  <si>
    <t>Director Xeral de Editorial Galaxia. Escritor.</t>
  </si>
  <si>
    <t>http://www.franciscocastro.gal</t>
  </si>
  <si>
    <t>Alicia DLPC</t>
  </si>
  <si>
    <t>Por si tenéis dudas, @PSOE @PPopular @CiudadanosCs @ahorapodemos @iunida @Albert_Rivera @Pablo_Iglesias_ @sanchezcastejon @pablocasado_ @agarzon : la ley q critica #NoConMisDatos puede dañar mucho a España si se lleva ante el TJUE. DEROGACIÓN O SUSPENSIÓN YA. Vergüenza</t>
  </si>
  <si>
    <t>Emili Ferrando</t>
  </si>
  <si>
    <t>Law and journalism || Always ignorant. Always ready to learn || Gold is not time</t>
  </si>
  <si>
    <t>Julio Cortés</t>
  </si>
  <si>
    <t>El partido de @Albert_Rivera recoge los votos que ha perdido el @psoedeandalucia y @AdelanteAND pero @CiudadanosCs se abraza al partido friki-facha que ha ganado lo que pierde el PP para seguir siendo lo mismo que siempre han sido. Mala jugada</t>
  </si>
  <si>
    <t>PEPE</t>
  </si>
  <si>
    <t>Opinador</t>
  </si>
  <si>
    <t>Ciudadanos, la estafa naranja Albert Rivera es un dirigente político mediocre, un tipo sin moral ni convicciones, un entusiasta del camaleonismo político dependiendo de las circunstancias, alguien que sin demostrar nada en la vida privada pretende ahora redimir al país.</t>
  </si>
  <si>
    <t>https://pbs.twimg.com/media/DtwfteuXcAIRSN7.jpg</t>
  </si>
  <si>
    <t>Raúl Rebolledo Cuesta</t>
  </si>
  <si>
    <t>Le juzgan por maltrato en Palencia, se lleva a su hija a Polonia y un tribunal de su país pide una pensión a la madre  #España ninguneada en Europa. @JosepBorrellF @pablocasado_ @Albert_Rivera @Pablo_Iglesias_ @Santi_ABASCAL No se nos respeta nada ¿Por qué?</t>
  </si>
  <si>
    <t>https://www.elnortedecastilla.es/palencia/polaco-juzgado-maltrato-20181205220149-nt.html</t>
  </si>
  <si>
    <t>Progrestona🎗️🧕 ☭</t>
  </si>
  <si>
    <t>Albert Rivera, NO cometáis este error o seguira el PSOE mandando en Andalucía. Según vuestro criterio...</t>
  </si>
  <si>
    <t>http://youtu.be/xDprs49mKSc?a</t>
  </si>
  <si>
    <t>Palencia, España</t>
  </si>
  <si>
    <t>La EDUCACIÓN es el mejor eje vertebrador para un País.</t>
  </si>
  <si>
    <t>Cule Podemita, Borde Progre Comunista. De la Repubica Separatista, la culpa es de Franco, Que te Calles Facha Islamofobobo. Feminazi con Burka🧕 a Tiempo Parcial</t>
  </si>
  <si>
    <t>https://www.youtube.com/channel/UCl-_iYBzcBZvjEoHp81MlUg</t>
  </si>
  <si>
    <t>Edu Sánchez-Rey</t>
  </si>
  <si>
    <t>Si tu novio: - Empapela la ciudad de sus nudes - Cambia de amigos constantemente - No presume de ti en el estrado - Es amigo de Marta Sánchez No es tu novio, es @Albert_Rivera</t>
  </si>
  <si>
    <t>Rafael Balaguer</t>
  </si>
  <si>
    <t>Albert Rivera. Celebración del 40 aniversario de la Constitución en el C...  vía @YouTube</t>
  </si>
  <si>
    <t>https://youtu.be/HSwoOAA8UIs</t>
  </si>
  <si>
    <t>Alcoy, Comunidad Valenciana</t>
  </si>
  <si>
    <t>Miembro de la junta directiva @Cs_Alcoy - Soy liberal, progresista, demócrata y constitucionalista</t>
  </si>
  <si>
    <t>Sé hacer muchas cosas. Algunas incluso bien. Secretario de Comunicación e Innovación Política en @JSPCR.</t>
  </si>
  <si>
    <t>Jordi Andreu</t>
  </si>
  <si>
    <t>Esperando el tuit de Albert Rivera alegrándose por la detención de #GarciaJulia</t>
  </si>
  <si>
    <t>Nacho Prendes</t>
  </si>
  <si>
    <t>⁦#Constitucion40 ⁦@Albert_Rivera⁩ pide superar el "guerracivilismo" y llama al PP a unirse a Ciudadanos y PSOE para afrontar una reforma constitucional 🇪🇸</t>
  </si>
  <si>
    <t>Badaslowna</t>
  </si>
  <si>
    <t>A Badalona tot va lent. 20 anys per fer un canal...</t>
  </si>
  <si>
    <t>Gijonés. Abogado y Diputado de Ciudadanos. Vicepresidente Primero del Congreso de los Diputados. Trabajando para hacer posible lo necesario.</t>
  </si>
  <si>
    <t>Más influyentes ahora en Derecha/Centro Dcha.: ➀ @FrayJosepho ↓ ➁ @dlacalle ↓ ➂ @ANDRES_CANO42 ↑ ➃ @voxnoticias_es ↑ ➄ @JCXuancar ↑ ➅ @eltivipata ↓ ➆ @Albert_Rivera ↓ ➇ @victoriah991 ↑ ➈ @AngelBaena5 ↑</t>
  </si>
  <si>
    <t>Los Genoveses</t>
  </si>
  <si>
    <t>La famiglia. Lo nunca contado de la ‘íntima’ amistad entre Albert Rivera y Santiago Abascal</t>
  </si>
  <si>
    <t>Génova 13 Bis. Spain</t>
  </si>
  <si>
    <t>No somos neutrales ni lo tenemos previsto.</t>
  </si>
  <si>
    <t>http://www.losgenoveses.net</t>
  </si>
  <si>
    <t>Aquí Europa</t>
  </si>
  <si>
    <t>🔴 #ENDIRECTO | @susanadiaz pide a @Albert_Rivera que aclare si ante VOX actuará "como Macron o como Salvini"</t>
  </si>
  <si>
    <t>http://www.aquieuropa.com/noticia/65888-la-ultraderecha-europea-aplaude-el-auge-de-vox-en-andalucia</t>
  </si>
  <si>
    <t>https://pbs.twimg.com/media/DtvBMQkWwAAnjwl.jpg</t>
  </si>
  <si>
    <t>Bruselas</t>
  </si>
  <si>
    <t>Periódico español especializado en asuntos europeos. Spanish newspaper specialized in EU affairs. | 📸: Palacio de Schönbrunn (Austria) 🇦🇹</t>
  </si>
  <si>
    <t>http://www.aquieuropa.com</t>
  </si>
  <si>
    <t>Osito del Demonio</t>
  </si>
  <si>
    <t>.@InesArrimadas para según qué cosas si os interesa pactar con independentistas ¿no? Pero bien que tu jefe @Albert_Rivera le critica lo mismo a @sanchezcastejon y habéis vendido otra película en #Andalucía ¿Para cuando la coherencia?</t>
  </si>
  <si>
    <t>https://elpais.com/ccaa/2018/12/05/catalunya/1544016361_262121.html</t>
  </si>
  <si>
    <t>Eloy Castro</t>
  </si>
  <si>
    <t>Alguien percibe la diferencia de titulares? - Escrache de independentistas violentos para recibir a Albert Rivera. - Pedro Sánchez ha sido recibido con abucheos. Los grandes medios de comunicación sois el cáncer de este país.</t>
  </si>
  <si>
    <t>Aʟᴇᴊᴀɴᴅʀᴏ Esᴘɪɴᴏsᴀ</t>
  </si>
  <si>
    <t>Pamplona - Iruñea</t>
  </si>
  <si>
    <t>En desacuerdo constante con el mundo...</t>
  </si>
  <si>
    <t>Como las encuestas fallán mucho, desde hoy usaremos el n° de seguidores q tiene cada Secretario en twitter, de momento: 1. @Pablo_Iglesias_ 2,2 M 2. @Albert_Rivera 1M 3. @sanchezcastejon 938K 4. @pablocasado_ 178K 5. @Santi_ABASCAL 133K Habrá q observar como es el crecimiento.</t>
  </si>
  <si>
    <t>https://pbs.twimg.com/media/DtvBX1bWkAAJpp3.jpg</t>
  </si>
  <si>
    <t>Desde el 2001 trabajando en el sector financiero | Expongo mi visión no hago recomendaciones.</t>
  </si>
  <si>
    <t>http://alejandroespinosa.com</t>
  </si>
  <si>
    <t>Alberto 🐍</t>
  </si>
  <si>
    <t>http://www.citizengo.org/hazteoir/pc/167099-al-psoe-ni-agua-sr-rivera?tc=tw&amp;tcid=52558380</t>
  </si>
  <si>
    <t>Zaragoza, España</t>
  </si>
  <si>
    <t>Libertario, warrier y madridista</t>
  </si>
  <si>
    <t xml:space="preserve"> + Cristiano Católico + -Stop corrupción - cada vez más convencido que la política ( y los políticos ) no es la solución, si no el problema. Sevilla-España</t>
  </si>
  <si>
    <t>Francisco José Rubio</t>
  </si>
  <si>
    <t>¡Qué rápido te vendes, @Albert_Rivera! RT @okdiario: #ÚLTIMAHORA | C's pacta con PSOE y Podemos librar a Sánchez de explicar su tesis ‘fake’ en la Asamblea de Madrid</t>
  </si>
  <si>
    <t>Murcia</t>
  </si>
  <si>
    <t>¿Quién dice la gente que soy yo?</t>
  </si>
  <si>
    <t>Piedad G. Perea 🇪🇺</t>
  </si>
  <si>
    <t>Hablar veladamente de pactar con la extrema derecha antidemocrática el día del aniversario de nuestra Constitución y de la celebración de 40 años de democracia es una auténtica aberración señor @Albert_Rivera , por mucho que lo quiera camuflar de concordia. #40AñosDeConstitución</t>
  </si>
  <si>
    <t>La Mancha-Madrid</t>
  </si>
  <si>
    <t>Uno de mis héroes es Atticus Finch. Socialdemócrata en guardia.Ciencia, razón, humanismo y progreso. #StopPseudociencias</t>
  </si>
  <si>
    <t>La política truncó su amistad</t>
  </si>
  <si>
    <t>Ciudadanos Almería Provincia</t>
  </si>
  <si>
    <t>⚖️🇪🇸@Albert_Rivera 'Gracias a nuestra Constitución pasamos de ser enemigos a compatriotas' ➡️</t>
  </si>
  <si>
    <t>Albert Rivera: “Ni Junqueras ni Puigdemont van a modificar la Constitución a su gusto”</t>
  </si>
  <si>
    <t>https://pbs.twimg.com/media/DtvA06YWsAEl5dG.jpg</t>
  </si>
  <si>
    <t>Perfil oficial de @CiudadanosCs en #Almería. 🍊📲 También estamos en Facebook</t>
  </si>
  <si>
    <t>David Martinez 🇪🇺</t>
  </si>
  <si>
    <t>¡Madremiadelamorhermosoqueyonosalgodemiasombro! Que @elpais_espana (sí, sí, @el_pais ), ha tenido q reunir a tres expertos porque resulta muy difícil definir el espectro ideológico en el que se sitúa VOX. Mira, que @Albert_Rivera finja que le resulta difícil, vale. Pero, ¿esto? RT @elpais_espana: La dificultad de definir al nuevo partido de derechas</t>
  </si>
  <si>
    <t>https://twitter.com/elpais_espana/status/1070659145358041090
https://elpais.com/politica/2018/12/05/actualidad/1544044017_653308.html</t>
  </si>
  <si>
    <t>Geneva / Asturias</t>
  </si>
  <si>
    <t>Progresista, siempre avanzar. Afortunado, pero veo la injusticia. Europeísta, la unión por y para los ciudadanos. Antimachista. 🏳️‍🌈 Comunicación Política 33%</t>
  </si>
  <si>
    <t>http://www.instagram.com/mealsandtrips</t>
  </si>
  <si>
    <t>Sejmet🦁</t>
  </si>
  <si>
    <t>Recordemos cuando mi padre tenía twitter y lo usaba para vacilar a Jordi Ébole y Albert Rivera. Papá vuelve, eras el rey.</t>
  </si>
  <si>
    <t>Aurora</t>
  </si>
  <si>
    <t>Un testimonio desgarrador de una madre desesperada y a punto de tirar la toalla de la manera más dramática sin vuelta atrás. Qué hacéis con esto? @sanchezcastejon @Pablo_Iglesias_ @agarzon @ManuelaCarmena @pablocasado_ @Albert_Rivera #stopdesahucios RT @alwaysfree86: Mi desahucio terminará de la peor de las maneras..SUICIDIO @galceran_montse @ManuelaCarmena @provivienda_org @emvsmadrid @La1_tve @antena3com @cuatro @telemadrid @telecincoes @laSextaTV @MADRID @ComunidadMadrid @JMDTetuan @Tetuan30Dias @Invisibles_T @OSTetuan</t>
  </si>
  <si>
    <t>Con el coraje de soñar y el riesgo que supone vivir.'</t>
  </si>
  <si>
    <t>https://twitter.com/alwaysfree86/status/1070299080906211329</t>
  </si>
  <si>
    <t>Bebo Whisky con hielo y como Suchard https://www.zazzle.es/lamorina_</t>
  </si>
  <si>
    <t>Bye Bye</t>
  </si>
  <si>
    <t>Está claro q @manuelvalls no conoce nuestro país. Un tremendo error q @Albert_Rivera ponga en sus manos @CiutadansBCN Se están cargando @CiutadansCs RT @eltivipata: Mientras Manuel Valls pide un cordón sanitario contra VOX, los mossos deben hacer un cordón policial para protegerlo de la extrema izquierda...</t>
  </si>
  <si>
    <t>https://twitter.com/eltivipata/status/1070392104264839169</t>
  </si>
  <si>
    <t>Marcos Miguel Navarr</t>
  </si>
  <si>
    <t>http://www.citizengo.org/hazteoir/pc/167099-al-psoe-ni-agua-sr-rivera?tc=tw&amp;tcid=52558261</t>
  </si>
  <si>
    <t>Soto del Real, Madrid, España</t>
  </si>
  <si>
    <t>I was a good studient in software develop, wich is my actual profession. I have always been interested in religious, philosophical and political topics.</t>
  </si>
  <si>
    <t>http://about.me/ssigfrrido</t>
  </si>
  <si>
    <t>LaCerca noticias CLM</t>
  </si>
  <si>
    <t>#España @Albert_Rivera: 'Gracias a nuestra Constitución pasamos de ser enemigos a compatriotas' @CiudadanosCs</t>
  </si>
  <si>
    <t>http://www.lacerca.com/noticias/espana/rivera-gracias-constitucion-pasamos-enemigos-compatriotas-448141-1.html</t>
  </si>
  <si>
    <t>📌📢Diario digital multimedia de Castilla-La Mancha. 📡⚡️Noticias, Entrevistas y Reportajes de ▶️ Albacete, Cuenca, Ciudad Real, Guadalajara y Toledo.🙅📸TV online 📺</t>
  </si>
  <si>
    <t>http://www.lacerca.com</t>
  </si>
  <si>
    <t>Miss Marieta</t>
  </si>
  <si>
    <t>Siempre está usted congestionado, ¿ha ido ya al médico, @Albert_Rivera?</t>
  </si>
  <si>
    <t>sam🎗️ bala #NoPassaràn !!*!! 🌹🔆 10💛+8❤️</t>
  </si>
  <si>
    <t>"Sin embargo, curiosamente, no se ha hablado en el programa, del repentino adelgazamiento que ha tenido el currículum de Albert Rivera o de las revelaciones de la Cadena SER sobre el caso Pablo Casado." RT @DigitalSevilla: Ana Rosa y Eduardo Inda nos hablan de plagios y de ética en Telecinco</t>
  </si>
  <si>
    <t>pic.twitter.com/F8BVjcUHhn</t>
  </si>
  <si>
    <t>https://twitter.com/DigitalSevilla/status/1070739958653206528
https://buff.ly/2NIxzHK</t>
  </si>
  <si>
    <t>ESPERANT QUE REVENTIN ELS 155 GRANS DE PUS AL CUL DE LA MEVA REPÚBLICA , PAU I BON ROTLLO !!*!!🎗️#JosócCDR</t>
  </si>
  <si>
    <t>Ordino, Andorra</t>
  </si>
  <si>
    <t>Alérgica al fascismo, Anarcoindependentista #FuckTheFascism.No eres tú, soy yo, que no te aguanto. Boletaire, catalana, políglota, siempre tengo sueño(s) ||*||</t>
  </si>
  <si>
    <t>Sergio</t>
  </si>
  <si>
    <t>El trato que se está dando al ídolo francés del payaso de Albert Rivera he de reconocer que hasta me excita.</t>
  </si>
  <si>
    <t>Musica, cine, series. So what?.Un culé en Madrit.Estudiante de Medicina. I never want to act my age.</t>
  </si>
  <si>
    <t>Lord Jim</t>
  </si>
  <si>
    <t>http://instagram.com/sergiomartin_95/</t>
  </si>
  <si>
    <t>http://www.citizengo.org/hazteoir/pc/167099-al-psoe-ni-agua-sr-rivera?tc=tw</t>
  </si>
  <si>
    <t>Yoda Republicano</t>
  </si>
  <si>
    <t>Pablo Iglesias o Albert Rivera entre los nominados a mejor orador del Parlamento via @El_Plural</t>
  </si>
  <si>
    <t>https://www.elplural.com/politica/pablo-iglesias-o-albert-rivera-entre-los-nominados-a-mejor-orador-del-parlamento_207638102</t>
  </si>
  <si>
    <t>Con permiso de Conrad</t>
  </si>
  <si>
    <t>Vitoria-Gasteiz, Euskadi</t>
  </si>
  <si>
    <t>“El miedo es el camino hacia el Lado Oscuro, el miedo lleva a la ira, la ira lleva al odio, el odio lleva al sufrimiento. Veo mucho miedo en ti.” ⛔️🚫MD🚫⛔️</t>
  </si>
  <si>
    <t>https://www.youtube.com/channel/UCY60GBj-H8SmayRG1UgDVWw</t>
  </si>
  <si>
    <t>Sí se puede, Laciana</t>
  </si>
  <si>
    <t>Jaaaaa, cuanto cinismo e hipocresia @Albert_Rivera RT @CiudadanosCs: 🇪🇸 @Albert_Rivera "Debemos buscar consensos entre los partidos constitucionalistas para hacer reformas. Ahora no es posible porque el #Sanchismo ha abandonado ese espacio, pero en una nueva legislatura podemos lograr esa mayoría" #40AñosdeConstitución</t>
  </si>
  <si>
    <t>https://twitter.com/CiudadanosCs/status/1070637898142240768</t>
  </si>
  <si>
    <t>pic.twitter.com/o8aDyzKnDf</t>
  </si>
  <si>
    <t>León, España</t>
  </si>
  <si>
    <t>Presente, pasado y, sobre todo, futuro de la comarca leonesa de Laciana, plagada de historia, buena gente y paraíso natural.</t>
  </si>
  <si>
    <t>Marga Soliño</t>
  </si>
  <si>
    <t>Yo ya tengo mis ganadores🍊💪 👉 @Albert_Rivera 👉 @MelisaRguezCs 👉 @Lroldansu 👉 @GuillermoDiazCs 👉 @CiudadanoVille 👉 #JavierNart Finalistas para los #PremiosAPP2018 Enhorabuena😉 RT @APP_Cortes: Ya tenemos los finalistas a los #PremiosAPP2018</t>
  </si>
  <si>
    <t>https://twitter.com/APP_Cortes/status/1070346348950679553</t>
  </si>
  <si>
    <t>https://pbs.twimg.com/media/DtqiTKCWsAIuQht.jpg</t>
  </si>
  <si>
    <t>Pontevedra, España</t>
  </si>
  <si>
    <t>Quien quiere hacer algo encuentra un medio, quien no quiere hacer nada encuentra excusas. 🍊💪🍊</t>
  </si>
  <si>
    <t>Jojogape</t>
  </si>
  <si>
    <t>Cómo entender el comportamiento de Albert Rivera: 1. Asumir que no tiene dignidad y se arrima a todo lo que piensa que le dará votantes 2. Ya está</t>
  </si>
  <si>
    <t>Sanlúcar de Barrameda</t>
  </si>
  <si>
    <t>Estudiando Desarrollo de Aplicaciones Web. Hice Someday y Digimon Extend. En el principio de algo genial, espero ☆ (Cabecera: http://www.deviantart.com/poisonbird)</t>
  </si>
  <si>
    <t>http://jojogape.deviantart.com</t>
  </si>
  <si>
    <t>Álvaro Gutiérrez</t>
  </si>
  <si>
    <t>Los suelos mientras tanto del congreso y la casa del rey suben un 2,5%, no deberían de subir igual los del resto de empleados, públicos o privados?@pablocasado_ @Albert_Rivera @sanchezcastejon @Pablo_Iglesias_ #felipeVI #DíaDeLaConstitución</t>
  </si>
  <si>
    <t>Эль Фары</t>
  </si>
  <si>
    <t>Albert "Goldstein" Rivera, histórico miembro del Loamei Herut Israel RT @invictus_deus: @Piolinna Cs es globalismo sionista.</t>
  </si>
  <si>
    <t>https://twitter.com/invictus_deus/status/1070747206427267072</t>
  </si>
  <si>
    <t>Je maintiendrai. Stalinist White nationalist "Juche pro-blanco" - @EastonAssasin</t>
  </si>
  <si>
    <t>https://www.youtube.com/user/LaLogiaMierdosa</t>
  </si>
  <si>
    <t>#Madrid🇪🇸 #LaHabana 🇨🇺</t>
  </si>
  <si>
    <t>os gusta @Albert_Rivera @InesArrimadas "dar la nota"..Todo el mundo celebra en Madrid y q. Hacéis?? Ir a provocar. Pobre España si gobernáis RT @Albert_Rivera: Celebramos #40AñosDeConstitución⁠ ⁠⁠en Barcelona con @InesArrimadas y @manuelvalls y algunos pretenden que no tengamos derecho de reunión ni libertad para defender la igualdad y la unión. Esto es lo que he grabado: la cara del nacionalismo frente a la democracia.</t>
  </si>
  <si>
    <t>Gala</t>
  </si>
  <si>
    <t>Éste sujeto siempre con sus falacias,señor @Albert_Rivera q todos los partidos, sí, todos, son constitucionales. Deje ya el enfrentamiento.🙊🙉🙈 Harto de 👂 discursos para enfrentar,español contra español. Esa es la España que quiere @CiudadanosCs ?😱como macron en Francia,no? RT @COPE: Albert Rivera pide a Pedro Sánchez que vuelva al constitucionalismo #DíaDeLaConstitución</t>
  </si>
  <si>
    <t>https://twitter.com/COPE/status/1070637895923437571
http://ww.cope.es/cjv1e1</t>
  </si>
  <si>
    <t>inicio de una nueva etapa,en busca del Twitter perdido.comenzamos</t>
  </si>
  <si>
    <t>Ciudadanos Madrid</t>
  </si>
  <si>
    <t>🇪🇸 Con motivo del los #40AñosDeConstitución @el_pais publica una entrevista con @Albert_Rivera. 📰 Puedes leerla completa aquí</t>
  </si>
  <si>
    <t>https://pbs.twimg.com/media/Dtuz7m4WoAMU013.jpg</t>
  </si>
  <si>
    <t>Fernando Abrantes</t>
  </si>
  <si>
    <t>Albert Rivera tira de sus greatest hits el Día de la Constitución....Que dice que "no ve rojos y azules"....ya, Albert...Solo ves "españoles". Lo que no ves es que hay una mayoría al borde de la pobreza gracias a las políticas que tu defiendes...🙄</t>
  </si>
  <si>
    <t>Perfil oficial de @CiudadanosCs en la COMUNIDAD de MADRID. 📲 Conecta en Facebook: http://bit.ly/FBCsMad y Telegram: https://t.me/CsMadrid 🍊</t>
  </si>
  <si>
    <t>http://asamblea-madrid.ciudadanos-cs.org/</t>
  </si>
  <si>
    <t>Bajista,cantante,compositor en http://finneymusic.bandcamp.com. Beatles, Smashing Pumpkins,Pixies, Nirvana, Radiohead, MBV...la banda sonora de mi vida.</t>
  </si>
  <si>
    <t>Francisco Javier Martínez Romero</t>
  </si>
  <si>
    <t>Ayer pudimos asistir a un gran acto d Unidad,40 años de Constitución,esa que nos permite ser y tener en España una democracia puntera, ejemplo en tantos países, defendiendo con coherencia estos principios tres personas. Felicidades @Albert_Rivera @InesArrimadas @manuelvalls</t>
  </si>
  <si>
    <t>https://pbs.twimg.com/media/Dtu2fKBW4AEkh3s.jpg</t>
  </si>
  <si>
    <t>Acta est fabula...!!!</t>
  </si>
  <si>
    <t>★ AingOI</t>
  </si>
  <si>
    <t>Hoy celebramos #40AñosDeConstitución El Gobierno @desdelamoncloa @Congreso_Es @Senadoesp debe acatar art. 9, 35 y 36 de la CE y cumplir la DF 3° de la Ley 12/1986 @CasaReal @constitucion40 @sanchezcastejon @MarotoReyes @pablocasado_ @Albert_Rivera @Santi_ABASCAL @Pablo_Iglesias_</t>
  </si>
  <si>
    <t>https://pbs.twimg.com/media/Dtu2G-HWsAESoV0.jpg</t>
  </si>
  <si>
    <t>Asociación Profesional de #IngenieríaOrganizaciónIndustrial de 🇪🇸 | ingeniero 4.0 | Asóciate | IOI | Registro Nacional de Asociaciones nº171730</t>
  </si>
  <si>
    <t>http://www.aingoi.com</t>
  </si>
  <si>
    <t>eljoioporculo</t>
  </si>
  <si>
    <t>#laconstitucionJelo @Juliaenlaonda ¿Os imagináis a Pablo Casado, Pedro Sánchez, Albert Rivera, Pablo Iglesias, Gabriel Rufián y Santiago Abascal pactando una Constitución? cortesia de @diostuitero</t>
  </si>
  <si>
    <t>Más comentados ahora en Derecha/Centro Dcha.: ➀ @FrayJosepho ↑ ➁ @ahorapodemos ↓ ➂ @sanchezcastejon ↑ ➃ @PPopular ↑ ➄ @agarzon ↑ ➅ @ANDRES_CANO42 ↓ ➆ @dlacalle ↑ ➇ @eltivipata ↑↑ ➈ @Albert_Rivera ↓ ➉ @Pablo_Iglesias_ ↑</t>
  </si>
  <si>
    <t>pic.twitter.com/DaUKUlfS93</t>
  </si>
  <si>
    <t>ªLa ignorancia es la puerta a la manipulación"mío</t>
  </si>
  <si>
    <t>Más influyentes ahora en Derecha/Centro Dcha.: ➀ @FrayJosepho ↑ ➁ @ANDRES_CANO42 ↓ ➂ @dlacalle ↑ ➃ @eltivipata ↑↑ ➄ @Albert_Rivera ↓ ➅ @javiernegre10 ↑ ➆ @mcyava ↓ ➇ @JosPastr ↓ ➈ @josepramonbosch ↑ ➉ @PPopular ↑↑↑</t>
  </si>
  <si>
    <t>🗞 @Albert_Rivera⁩ “Con esta Carta Magna, España está mucho mejor que hace cuatro décadas. Es de justicia reivindicarla y defenderla, debemos también garantizar su aplicación en toda su extensión y en todos los lugares del país.” #40AñosDeConstitución</t>
  </si>
  <si>
    <t>https://www.heraldo.es/noticias/nacional/2018/12/06/albert-rivera-constitucion-espanola-opinion-1281464-305.html</t>
  </si>
  <si>
    <t>Informativos Telecinco</t>
  </si>
  <si>
    <t>.@Albert_Rivera lamenta que no exista el consenso del 78 para hablar de una eventual reforma de la #ConstituciónEspañola</t>
  </si>
  <si>
    <t>El plan de Casado para Andalucía: un “acuerdo global” con Ciudadanos antes del 27D  El PP excluye a Vox de la negociación para la investidura y únicamente señala al partido de Albert Rivera como interlocutor.</t>
  </si>
  <si>
    <t>http://bit.ly/2QF3g6h</t>
  </si>
  <si>
    <t>https://www.elboletin.com/noticia/169829/nacional/el-plan-de-casado-para-andalucia:-un-acuerdo-global-con-ciudadanos-antes-del-27d.html</t>
  </si>
  <si>
    <t>https://pbs.twimg.com/media/Dtu020hXgAErRvP.jpg</t>
  </si>
  <si>
    <t>Mediaset España</t>
  </si>
  <si>
    <t>Perfil oficial de Informativos Telecinco | http://www.facebook.com/InformativosTelecinco</t>
  </si>
  <si>
    <t>http://www.telecinco.es/informativos</t>
  </si>
  <si>
    <t>Agencia Asnerp</t>
  </si>
  <si>
    <t>.@Albert_Rivera, @InesArrimadas , y el candidato a la alcaldía de Barcelona, @manuelvalls , participan en el acto "40 años de constitucionalismo" Todas las imágenes en:  © Paco Freire / Asnerp #ciudadanos #valls #rivera #arrimadas #fotografia #photography</t>
  </si>
  <si>
    <t>http://news.asnerp.com/galleries/go/19122/conference-by-manuel-valls-and-a-rivera-in-barcel</t>
  </si>
  <si>
    <t>https://pbs.twimg.com/media/DtuySNbXgAAEOmZ.jpg</t>
  </si>
  <si>
    <t>Fotografía de prensa generalista. Coberturas bajo demanda. Suscripciones y cable. prensa@asnerp.com (+34) 644503476</t>
  </si>
  <si>
    <t>http://asnerp.com/</t>
  </si>
  <si>
    <t>Magally Vivas</t>
  </si>
  <si>
    <t>Viva España 🇪🇸 mantener el compromiso de democracia Viva la constitución. @PPopular @Albert_Rivera @Senadoesp @marianorajoy @pablocasado_ RT @beatrizbecerrab: Hoy hace 40 años que España es un Estado social y democrático de derecho, cuya forma política es la monarquía parlamentaria. Celebremos que el jefe del Estado es un rey comprometido con la democracia, irreprochable y preparado. ¡Feliz #Constitucion40 🇪🇸! #40añosdeConstitución</t>
  </si>
  <si>
    <t>El Antídoto</t>
  </si>
  <si>
    <t>Europa o los fachas: la amnesia disociativa de Albert Rivera  vía @PlayGrounder</t>
  </si>
  <si>
    <t>https://twitter.com/beatrizbecerrab/status/1070589872254136320</t>
  </si>
  <si>
    <t>pic.twitter.com/HeoMJBiyFc</t>
  </si>
  <si>
    <t>Cualquiera</t>
  </si>
  <si>
    <t>"Las palabras verdaderas no son agradables, las palabras agradables no son verdaderas" (Lao Zi)</t>
  </si>
  <si>
    <t>Padre,Hijo,Espíritu Santo derrama bendiciones sobre venezolanos de Libertad.Virgen de Coromoto Venezuela es de tu propiedad.Amén!</t>
  </si>
  <si>
    <t>http://www.patxibarrondo.com</t>
  </si>
  <si>
    <t>Dra.Lina</t>
  </si>
  <si>
    <t>Qué emocionante está el panorama político últimamente, @CiudadanosCs debéis manteneros firmes nada de pactos absurdos, mucha gente confía en vosotros. No nos defraudeis o se verá en las hurnas. @InesArrimadas @Albert_Rivera y @vox no es de ultraderecha , he dicho.</t>
  </si>
  <si>
    <t>Galena. Defensora d l igualdad real. En contra del feminismo y del machismo ,defensora de los animales.chula con las tonterías manipuladoras.</t>
  </si>
  <si>
    <t>acrat3rep</t>
  </si>
  <si>
    <t>¿Cabe mayor nacionalismo (español) y mayor populismo (demagógico) que los de Albert Rivera y Ciudadanos? Pues eso... RT @Albert_Rivera: Nacionalismo y populismo son hoy las mayores amenazas a España y a Europa. Iglesias ataca diariamente a la Constitución y a la Jefatura del Estado. Yo si tengo que escoger entre él o Felipe VI... Qué queréis que os diga 😉 #40AñosDeConstitución</t>
  </si>
  <si>
    <t>GOKUUU</t>
  </si>
  <si>
    <t>És esto verdad @Albert_Rivera? RT @CristinaSegui_: C's pacta con PSOE y Podemos librar a Sánchez de explicar su tesis ‘fake’ en la Asamblea de Madrid</t>
  </si>
  <si>
    <t>https://twitter.com/CristinaSegui_/status/1070453017265213440
https://okdiario.com/espana/madrid/2018/12/05/cs-pacta-psoe-podemos-librar-sanchez-explicar-tesis-fake-asamblea-madrid-3432942/amp</t>
  </si>
  <si>
    <t>Nordeste ibérico</t>
  </si>
  <si>
    <t>¿Porqué no les gusta a esos la libertad?</t>
  </si>
  <si>
    <t>〽️iguel A. Toscano</t>
  </si>
  <si>
    <t>Si después de #40AñosDeConstitución nos van a quitar la identidad al pueblo Andaluz la lleva clara @pablocasado_ y @Albert_Rivera. Viva ANDALUCIA libre!!!</t>
  </si>
  <si>
    <t>Pedro Sánchez</t>
  </si>
  <si>
    <t>pic.twitter.com/GjyzE3FPHE</t>
  </si>
  <si>
    <t>Tarragona</t>
  </si>
  <si>
    <t>Treballant per Tarragona i pels seus Ciutadans. Nascut a Tarragona. Casteller, Representant Veïnal, Tècnic T.S. i Polític a la meva Ciudad Natal.</t>
  </si>
  <si>
    <t>SALTERAS (SEVILLA)</t>
  </si>
  <si>
    <t>Padre de tres hij@s Educador social. Tte.Alcalde y Sec.General Psoe Salteras. luchando contra desigualdades sociales,violencia genero y la Homofobia. LGTBI</t>
  </si>
  <si>
    <t>Mari Carmen #FreeTabarnia #SanchezDimision</t>
  </si>
  <si>
    <t>Comooooo?? @CiudadanosCs @Albert_Rivera Ciudadanos pacta con @PSOE y Podemos librar a @sanchezcastejon de explicar su tesis ‘fake’ en la Asamblea de Madrid</t>
  </si>
  <si>
    <t>Noticias 24 horas</t>
  </si>
  <si>
    <t>Albert Rivera: Tan Dulce !  vía @Noticias24horas #40AñosDeConstitución</t>
  </si>
  <si>
    <t>http://www.noticias24horas.com/albert-rivera-tan-dulce/</t>
  </si>
  <si>
    <t>https://okdiario.com/espana/madrid/2018/12/05/cs-pacta-psoe-podemos-librar-sanchez-explicar-tesis-fake-asamblea-madrid-3432942#.XAkJ0578QKM.twitter</t>
  </si>
  <si>
    <t>Oxford</t>
  </si>
  <si>
    <t>No cuentes las Noticias, haz que las Noticias cuenten. Contacto para Publicidad: PublicidadNoticias24Horas@gmail.com</t>
  </si>
  <si>
    <t>http://www.Noticias24horas.com</t>
  </si>
  <si>
    <t>Excepto Dios, nadie es lo suficientemente importante en tu vida para amargártela. ( Pedro Altuna)</t>
  </si>
  <si>
    <t>#40AñosDeConstitución y mientras los partidos de la derecha europea se escandalizan de la ultra derecha española @Albert_Rivera @pablocasado_ pactando con ellos... vergüenza!!!</t>
  </si>
  <si>
    <t>Raul</t>
  </si>
  <si>
    <t>No te la juegues @Albert_Rivera. Acepta los resultados (PP mas votos) y negociar el gobierno lo mejor que sepáis, pero no olvides que lo principal es mandar al PSOE a la oposición. Otros pactos serian un suicidio para el partido.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</si>
  <si>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Parece que la famosa frase “Dueños de nuestros silencios y esclavos de nuestras palabras” está en desuso.</t>
  </si>
  <si>
    <t>Albert Rivera traiciona a Macron, Renzi y el pacto firmado con más líderes europeos para contener a la extrema derecha:</t>
  </si>
  <si>
    <t>ElDoctorMabuse</t>
  </si>
  <si>
    <t>https://pbs.twimg.com/media/Dtu7QrOX4AAewu0.jpg</t>
  </si>
  <si>
    <t>25.000 votos más para VOX y no sé cuántos menos para Ciudadanos. Como siga así, a este ritmo @Albert_Rivera se va a quedar con las ganas de todo, pero con las manos llenas de nada. @Vox_Pozuelo @vox_es @Santi_ABASCAL @CristinaSegui_ @carloscuestaEM @hermanntertsch @CiudadanosCs RT @okdiario: #ÚLTIMAHORA | C's pacta con PSOE y Podemos librar a Sánchez de explicar su tesis ‘fake’ en la Asamblea de Madrid</t>
  </si>
  <si>
    <t>Londres, Milán, Viena, París</t>
  </si>
  <si>
    <t>Medicina y Derecho son mi vida. Crítico de cíne y autor. Dirigí el El Laboratorio del Dr Mabuse de RNE1. Escribí en Música de Cine, Sala1 y Preview entre otras.</t>
  </si>
  <si>
    <t>http://laboratorio-mabuse.blogspot.com/</t>
  </si>
  <si>
    <t>Mar. Introini</t>
  </si>
  <si>
    <t>#DiaDeLaConstitucion Antes q nada no entiendo porque hay q escoger entre Iglesias y el Rey. Pedir reformas no es atacar la Constitución, aunque si lo es en un contexto de dictadura no en una democracia. Alternativas mas allá del status quo Sr. @Albert_Rivera #Catalunya RT @Albert_Rivera: Nacionalismo y populismo son hoy las mayores amenazas a España y a Europa. Iglesias ataca diariamente a la Constitución y a la Jefatura del Estado. Yo si tengo que escoger entre él o Felipe VI... Qué queréis que os diga 😉 #40AñosDeConstitución</t>
  </si>
  <si>
    <t>ANA QUELCUTTI</t>
  </si>
  <si>
    <t>Benalmadena -Málaga -España</t>
  </si>
  <si>
    <t>Me gusta la gente que vibra, que no hay que empujarla, que no hay que decirle que haga las cosas, sino que sabe lo que hay que hacer.</t>
  </si>
  <si>
    <t>http://quelcuttiana.blogspot.com.es</t>
  </si>
  <si>
    <t>International</t>
  </si>
  <si>
    <t>Blogger/ Consultant.#Political #Analyst #Facilitator #Trainer #internationalRelations #globalisation #innovation #green #climatechange #arch #SDGs #GlobalGoals</t>
  </si>
  <si>
    <t>http://thesustainabilityreader.com</t>
  </si>
  <si>
    <t>Ignacio Arsuaga</t>
  </si>
  <si>
    <t>Human rights activist. Cristiano. Marido. Padre. Abogado. Provida. Ciudadano activo. Emprendedor social. Presidente de http://HazteOir.org y de http://CitizenGO.org</t>
  </si>
  <si>
    <t>http://about.me/arsuaga</t>
  </si>
  <si>
    <t>#DiaDeLaConstitucion:aceptar reformas y dejar de responder a temas estrictamente partidistas c/lenguaje panfletario"los q quieren liquidar #España #Catalunya busca un nuevo status x voluntad de una mayoria de esos españoles q Ud busca unir @Albert_Rivera</t>
  </si>
  <si>
    <t>https://www.20minutos.es/noticia/3508559/0/albert-rivera-defender-nuestra-constitucion/?utm_source=twitter.com&amp;utm_medium=socialshare&amp;utm_campaign=desktop</t>
  </si>
  <si>
    <t>Playa Tuerta</t>
  </si>
  <si>
    <t>¿Qué hace C’s repartiéndose los asientos en TV3 con el separatismo?: Però TV3 no s’havia de tancar, amics de C’s? Esto es lo que decía Albert Rivera el pasado abril: “Es intolerable que en un Estado de derecho, que en una democracia, una televisión del…</t>
  </si>
  <si>
    <t>http://dlvr.it/Qt04By</t>
  </si>
  <si>
    <t>https://pbs.twimg.com/media/Dtv6blIU0AAPfu_.jpg</t>
  </si>
  <si>
    <t>Karcel-Seta 🦅 🇪🇸 🇺🇲 🇨🇵 🇮🇱</t>
  </si>
  <si>
    <t>La prueba del algodón de que @vox_es es ABSOLUTAMENTE NECESARIO. La veleta naranja quiere imponer un presidente que ya ha pasado por todos los partidos y que no es de fiar, y que no permitirá la limpieza en Andalucia @Albert_Rivera @CiudadanosCs</t>
  </si>
  <si>
    <t>Alicante, España</t>
  </si>
  <si>
    <t>El destino tiene dos formas de aplastarnos: rechazando nuestros deseos y cumpliéndolos.</t>
  </si>
  <si>
    <t>https://okdiario.com/espana/andalucia/2018/12/05/cs-amenaza-nuevas-elecciones-andalucia-porque-no-quiere-que-popular-moreno-sea-presidente-3432237/</t>
  </si>
  <si>
    <t>España 🇪🇸🇪🇸</t>
  </si>
  <si>
    <t>Facha recalcitrante. Cuando la mugre golpista, batasuna o progre comunisto-sociata me llama FACHA, me llena de orgullo</t>
  </si>
  <si>
    <t>JR</t>
  </si>
  <si>
    <t>Sr. Rivera @Albert_Rivera van de mal en peor, sinceramente, no creia que pudieran dar cancha al okupa, no les entiendo y como yo mas de uno</t>
  </si>
  <si>
    <t>https://okdiario.com/espana/madrid/2018/12/05/cs-pacta-psoe-podemos-librar-sanchez-explicar-tesis-fake-asamblea-madrid-3432942/amp</t>
  </si>
  <si>
    <t>personalizadoschechy</t>
  </si>
  <si>
    <t>Saludos a todos los #koketones Dj Alfred estilo, clase y Julito Quiñones El Koketon de la salsa tu estilo es tu sello. Julio Cesar Quiñones Rivera Pito John Davila Albert Ojeda Alfredo Pinillos Alvarez Haldor Harpon #Koketones #puertoricoycolombia</t>
  </si>
  <si>
    <t>https://www.facebook.com/1154066417/posts/10215559494317828/</t>
  </si>
  <si>
    <t>Barranquilla, Atlántico</t>
  </si>
  <si>
    <t>Planeacion y Organizacion de Eventos Sociales y Empresariales +573016852655 Barranquilla</t>
  </si>
  <si>
    <t>Putos nacionalistas haciendo escraches a los políticos😡😡😡 Seguro q @albert_rivera e @InesArrimadas denunciaran en rueda de prensa estos hechos en unos mínutos.</t>
  </si>
  <si>
    <t>https://pbs.twimg.com/media/DtusKXOXgAIXNrU.jpg</t>
  </si>
  <si>
    <t>#Naranjito Exprés</t>
  </si>
  <si>
    <t>#Ciudadanos #YouTube Nuevo vídeo de CiudadanosCs // Albert Rivera. Celebración del 40 aniversario de la Constitución en el Congreso</t>
  </si>
  <si>
    <t>https://www.youtube.com/watch?v=HSwoOAA8UIs</t>
  </si>
  <si>
    <t>Noticias de #Ciudadanos Toda la actualidad de #Cs y @Albert_Rivera, #YoSoyNaranjito #Ciutadans / NO-OFICIAL</t>
  </si>
  <si>
    <t>Coposito</t>
  </si>
  <si>
    <t>Coincido totalmente con @Albert_Rivera en esta aseveración. Lo triste es que algunos no se Dan cuenta que todo no vale para mantenerse en Moncloa, deben reestructurar la ley electoral, de lo contrario la amenaza encontrará vías para lograr su objetivo. RT @Albert_Rivera: Nacionalismo y populismo son hoy las mayores amenazas a España y a Europa. Iglesias ataca diariamente a la Constitución y a la Jefatura del Estado. Yo si tengo que escoger entre él o Felipe VI... Qué queréis que os diga 😉 #40AñosDeConstitución</t>
  </si>
  <si>
    <t>Saludos a todos los #koketones Dj Alfred estilo, clase. Julito Quiñones El Koketon de la salsa tu estilo es un sello. Alfredo Pinillos Alvarez Julio Cesar Quiñones Rivera Pito John Davila Albert Ojeda Haldor Harpon</t>
  </si>
  <si>
    <t>https://www.facebook.com/446367975514588/posts/1206484952836216/</t>
  </si>
  <si>
    <t>Algun lugar</t>
  </si>
  <si>
    <t>el poder de la palabra escuece más que agua hirviendo. #Siguemeytesigo</t>
  </si>
  <si>
    <t>🇪🇸 @Albert_Rivera "Debemos buscar consensos entre los partidos constitucionalistas para hacer reformas. Ahora no es posible porque el #Sanchismo ha abandonado ese espacio, pero en una nueva legislatura podemos lograr esa mayoría" #40AñosdeConstitución</t>
  </si>
  <si>
    <t>LaTierraDeLosJuguetes</t>
  </si>
  <si>
    <t>Buen día de la @constitucion40 también desde #Alcalá20AñosCiudadPatrimonio. Aquí tambien los políticos celebrando algo que no tenemos en este País. @puntodemira_tv @sanchezcastejon @Albert_Rivera @pablocasado @Pablo_Iglesias @M_gabanelli @Verde_Way @greenpeace_esp @justiciagob</t>
  </si>
  <si>
    <t>Susana Díaz reta a Albert Rivera a aclarar si ante Vox actuará como el presidente Macron o como...  vía @_infoLibre</t>
  </si>
  <si>
    <t>https://www.infolibre.es/noticias/politica/2018/12/06/susana_diaz_reta_rivera_aclarar_si_ante_vox_sera_como_macron_salvini_89614_1012.html?utm_source=twitter.com&amp;utm_medium=smmshare&amp;utm_campaign=noticias&amp;rnot=1088542</t>
  </si>
  <si>
    <t>https://pbs.twimg.com/media/DturTmxXcAM1jlj.jpg</t>
  </si>
  <si>
    <t>Amo la naturaleza y los animales.. LUCHADOR, con corazón y denunciando lo que la ley permite.</t>
  </si>
  <si>
    <t>#España @Albert_Rivera dice que en la izquierda y la derecha no hay "enemigos", sino "compatriotas" @CiudadanosCs</t>
  </si>
  <si>
    <t>http://www.lacerca.com/noticias/espana/albert-rivera-dice-izquierda-derecha-enemigos-sino-compatriotas-448133-1.html</t>
  </si>
  <si>
    <t>ALFONSO</t>
  </si>
  <si>
    <t>Albert Rivera no quiere vivir en un País donde ser guardia civil sea una provocación. En cambio, otros nos jode vivir en un País donde la Justicia está al servicio de los poderosos, las eléctricas roban, los políticos se corrompen y tener un empleo no te garantiza salir de pobre.</t>
  </si>
  <si>
    <t>MD, no, gracias.</t>
  </si>
  <si>
    <t>Estoy en esa edad tan peligrosa en la que el cigarrillo de después siempre me lo fumo antes, por si acaso.</t>
  </si>
  <si>
    <t>http://t52m.blogspot.com.es</t>
  </si>
  <si>
    <t>#DiaDeLaConstitucion ver la Constitución como un documento desactualizado, inmune al paso del tiempo y creer q ello asegura igualdad y libertad es muy poco democrático y, contrariamente a lo q Ud supone @Albert_Rivera, crea enemigos #Catalunya RT @Albert_Rivera: Con nuestra Constitución, los españoles definitivamente dejamos de ser enemigos para convertirnos en compatriotas, en ciudadanos libres e iguales. Desde el Congreso, el lugar que la vio nacer, feliz #DíaDeLaConstitución a todos. 🇪🇸 #40AñosDeConstitución</t>
  </si>
  <si>
    <t>https://twitter.com/Albert_Rivera/status/1070619826392064000</t>
  </si>
  <si>
    <t>pic.twitter.com/Q6wowfYskJ</t>
  </si>
  <si>
    <t>DD The Wolf</t>
  </si>
  <si>
    <t>Pablo Iglesias destrozando con su Charizard al Rattata de Albert Rivera en el congreso si joder RT @elEconomistaes: Pokémon Go tendrá combates entre entrenadores desde este mismo mes</t>
  </si>
  <si>
    <t>https://twitter.com/elEconomistaes/status/1070307132057243648
https://www.eleconomista.es/tecnologia/noticias/9564915/12/18/Pokemon-Go-tendra-combates-entre-entrenadores-desde-este-mismo-mes.html</t>
  </si>
  <si>
    <t>https://pbs.twimg.com/media/Dtp-oSXWsAELUNF.jpg</t>
  </si>
  <si>
    <t>Outer Heaven</t>
  </si>
  <si>
    <t>Kept you waiting, huh? PSN ID: W_Sullivan11121</t>
  </si>
  <si>
    <t>🇪🇸 @Albert_Rivera "Los demócratas debemos unirnos en torno a los valores constitucionales: igualdad, solidaridad, libertad y unión. Necesitamos más serenidad que nunca para buscar consensos y hablar de lo que nos une" #40AñosdeConstitución</t>
  </si>
  <si>
    <t>pic.twitter.com/skZV3ZJAHm</t>
  </si>
  <si>
    <t>Madrid Directo OM</t>
  </si>
  <si>
    <t>🔴Directo desde Cª de San Jerónimo ⏲️ 17:30 📻@ondamadrid 101.3fm 🎤@MarioSandovalCOQUE le prepararía escabeche a Pedro Sánchez, cebiche a Pablo Iglesias, un asado a Pablo Casado y naranja Grand Manier a Albert Rivera 🔊  #DiaDeLaConstitución</t>
  </si>
  <si>
    <t>http://www.telemadrid.es/emision-en-directo-ondamadrid/</t>
  </si>
  <si>
    <t>https://pbs.twimg.com/media/Dtv1VIBWoAA6Qtp.jpg</t>
  </si>
  <si>
    <t>Onda Madrid, Madrid</t>
  </si>
  <si>
    <t>Madrid Directo en Onda Madrid con Nieves Herrero de lunes a viernes. 16:00 a 20:00 📻</t>
  </si>
  <si>
    <t>http://www.telemadrid.es/ondamadrid</t>
  </si>
  <si>
    <t>🇪🇸 @Albert_Rivera "Hoy es un día de celebración y de agradecimiento a los padres de la Constitución, un día para defender esa Constitución en toda España y también para mirar al futuro, a un nuevo proyecto común que vuelva a unir a todos los españoles" #40AñosdeConstitución</t>
  </si>
  <si>
    <t>https://pbs.twimg.com/media/Dtuo6ppXgAMBWL6.jpg</t>
  </si>
  <si>
    <t>Este franchuti no quiere nada con Vox y es el fichaje estrella de @Albert_Rivera para la alcaldía de Barcelona...asi que como van a pactar con @vox_es en Andalucía? Al final pactarán con Psoe...</t>
  </si>
  <si>
    <t>#Ciudadanos #YouTube Nuevo vídeo de CiudadanosCs // Albert Rivera. Entrevista en "14 horas" de RNE en el Día de la Constitución</t>
  </si>
  <si>
    <t>Más comentados ahora en Derecha/Centro Dcha.: ➀ @FrayJosepho ↑ ➁ @sanchezcastejon ↓ ➂ @ANDRES_CANO42 ↑ ➃ @ahorapodemos ↑ ➄ @Albert_Rivera ↓ ➅ @PPopular ↓ ➆ @JosPastr ↓ ➇ @agarzon ↓ ➈ @Pablo_Iglesias_ ↓ ➉ @vox_es ↓</t>
  </si>
  <si>
    <t>Más influyentes ahora en Derecha/Centro Dcha.: ➀ @FrayJosepho ↑ ➁ @ANDRES_CANO42 ↑ ➂ @JosPastr ↓ ➃ @Albert_Rivera ↓ ➄ @javiernegre10 ↑ ➅ @jordi_canyas ↓ ➆ @currusquita ↑ ➇ @juanchoex ↑ ➈ @eltivipata ↑↑↑</t>
  </si>
  <si>
    <t>📽 @Albert_Rivera "La Constitución fue un cúmulo de renuncias y por eso es buena; es un espacio en el que pueden convivir todos. La amenaza del nacionalismo y populismo es una oportunidad para que volvamos a poner por delante el proyecto común" #40añosdeConstitución</t>
  </si>
  <si>
    <t>pic.twitter.com/C5uuFwleaz</t>
  </si>
  <si>
    <t>Elsa García de Blas</t>
  </si>
  <si>
    <t>Entrevista a ⁦@Albert_Rivera en ⁦@el_pais⁩ por el 40 aniversario de la Constitución: “Ni Junqueras ni Puigdemont van a modificar la Constitución a su gusto”</t>
  </si>
  <si>
    <t>Elisa Díaz Salmerón 🍊🏳️‍🌈🇪🇸</t>
  </si>
  <si>
    <t>Última entrevista a Albert Rivera.</t>
  </si>
  <si>
    <t>Tomares, España</t>
  </si>
  <si>
    <t>Junta CsTomares. Responsable Ciudadania. |#Liberal | #Progresista | #StopLGTBIfobia #StopCristianofobia #PoliticaÚtil #LGTBI #🏳️‍🌈 #🇪🇸 💪 #🍊</t>
  </si>
  <si>
    <t>Siempre quise ser periodista, aunque por el camino estudié leyes. Trabajo en EL PAÍS pendiente de la política. Si no les controlamos nosotros, ¿quién lo hará?</t>
  </si>
  <si>
    <t>Es de justicia reivindicar estos #40AñosDeConstitución. Nuestra principal obligación es aplicarla en toda su extensión y en toda España. Defender la Carta Magna es hoy la mejor forma de celebrarla. 🖊 Mi tribuna en @larazon_es.</t>
  </si>
  <si>
    <t>José Marcos</t>
  </si>
  <si>
    <t>"@Albert_Rivera tiene que decidir si quiere ser como Macron o como Salvini", dice @susanadiaz sobre el posible pacto de @CiudadanosCs con @vox_es en Andalucía @PSOE @psoedeandalucia</t>
  </si>
  <si>
    <t>Periodista del diario El País. Nacional. Fogueado y curtido en Deportes y Madrid. jmarcos@elpais.es Instagram: marcosgarciajose</t>
  </si>
  <si>
    <t>http://elpais.com/autor/jose_marcos/a</t>
  </si>
  <si>
    <t>Caldas, Colombia</t>
  </si>
  <si>
    <t>Ciudadanos encarga una encuesta para decidir qué hace con Cifuentes: Ciudadanos quiere despejar sus dudas sobre qué papel adoptar ante el escándalo de Cristina Cifuentes y le ha pedido ayuda a las encuestas. El partido que lidera Albert Rivera ha…</t>
  </si>
  <si>
    <t>http://dlvr.it/Qszqlc</t>
  </si>
  <si>
    <t>https://pbs.twimg.com/media/DtvuUh0VsAAq-52.jpg</t>
  </si>
  <si>
    <t>#España El Congreso reúne este jueves a la Familia Real, los expresidentes y los tres Poderes en el Día de la Constitución @Albert_Rivera @agarzon @CasaReal @iunida @Pablo_Iglesias_ @CiudadanosCs @marianorajoy @anapastorjulian @ahorapodemos</t>
  </si>
  <si>
    <t>Abogados en Caldas, Antioquia, Colombia llama 320 542-9469 https://abogadosdefamiliar.wordpress.com/ https://es.abogadosdefamiliar.wordpress.com/ https://ta.abogadosdefamiliar.wordpress.com/ https://m.abogadosdefamiliar.wordpress.com/</t>
  </si>
  <si>
    <t>https://abogadosdefamiliar.wordpress.com/</t>
  </si>
  <si>
    <t>http://www.lacerca.com/noticias/espana/congreso-jueves-familia-real-expresidentes-tres-dia-constitucion-448130-1.html</t>
  </si>
  <si>
    <t>xX_IdiotSlayer_Xx</t>
  </si>
  <si>
    <t>Franco está vivo: En mi corazón y EN EL PARLAMENT!!! Entre la confusión se ha colau, le ha o tocado un master gratis de la Uni Rey Juan Carlos en la tapa de Danone y ahora está EN EL CONGRESO!!! @Albert_Rivera @KRLS @PSOE @marianorajoy @susanadiaz</t>
  </si>
  <si>
    <t>London, England</t>
  </si>
  <si>
    <t>ManuBalboa</t>
  </si>
  <si>
    <t>Esto es lo que le digo a Santiago Abascal, Pablo Casado, Albert Rivera y todos los votantes de partidos fascistas</t>
  </si>
  <si>
    <t>🇪🇸 Esta mañana, @Albert_Rivera ha atendido a los medios de comunicación desde el @Congreso_es, para valorar la celebración de los #40AñosdeConstitución</t>
  </si>
  <si>
    <t>pic.twitter.com/HKoscjmWer</t>
  </si>
  <si>
    <t>https://pbs.twimg.com/media/DtulHfgWoAAOG-F.jpg</t>
  </si>
  <si>
    <t>Al final todo saldrá bien. Y si no sale bien, es que no es el final</t>
  </si>
  <si>
    <t>Cs Calafell</t>
  </si>
  <si>
    <t>🍊 nuestro Portavoz @JoseMnlTejedor y toda la Agrupación de @CiutadansCs #Calafell felicitamos y damos la enhorabuena a @Albert_Rivera @CiudadanoVille @GuillermoDiazCs @MelisaRguezCs y @Lroldansu finalistas de los #PremiosParlamentarios en sus diferentes nominaciones. Suerte💪🍊</t>
  </si>
  <si>
    <t>#Política: La formación de Albert Rivera no ha querido aventurar si habrá pacto con #Vox, pero sí ha considerado "irresponsable" dejar a la fuerza de Santiago Abascal fuera de cualquier escenario  vía @mundiario</t>
  </si>
  <si>
    <t>https://pbs.twimg.com/media/DtukCp-WoAABIGb.jpg</t>
  </si>
  <si>
    <t>https://www.mundiario.com/articulo/politica/albert-rivera-ve-irresponsable-dejar-fuera-vox/20181205231116139867.html</t>
  </si>
  <si>
    <t>Calafell</t>
  </si>
  <si>
    <t>Perfil oficial de #Ciutadans (Cs) en #Calafell #CsSomosTuVoz #CsTrabajamosParaTí y #PorUnCalafellDeFuturo #Transparencia y #Regeneración 977.163.837 📞</t>
  </si>
  <si>
    <t>http://calafell.ciudadanos-cs.org</t>
  </si>
  <si>
    <t>Albert Rivera en VI Escuela de Verano DENAES 2012 🌏 Circulación,</t>
  </si>
  <si>
    <t>https://youtu.be/V9YYQDqha-Q?yma57=7928758193</t>
  </si>
  <si>
    <t>Alberto Álvarez</t>
  </si>
  <si>
    <t>Trabajo voluntariamente en el día que se celebra una constitución que no me representa. ¿Soy anticonstitucionalista @Albert_Rivera ?</t>
  </si>
  <si>
    <t>Getafe, España</t>
  </si>
  <si>
    <t>Abulense de nacimiento, carbayón de corazón #SupportYourLocalTeam @RealAvilaCF @RealOviedo Fútbol Modesto</t>
  </si>
  <si>
    <t>Mucha grima @GirautaOficial pero ustedes acabáis de entrar en esa televisión nazi. No hay quien os entienda. En Andalucía vais por el mismo camino, a pactar otra vez con los corruptos de @susanadiaz y @PSOE Pero ya estamos tomando nota @Albert_Rivera RT @GirautaOficial: Qué grima da esta pieza de propaganda de TV3 donde las frases de algún maestro analfabeto —el clásico abusador político infantil— brotan textuales de la boca de un chavalín de ocho años.</t>
  </si>
  <si>
    <t>https://twitter.com/girautaoficial/status/1070255559729926144
https://www.elcatalan.es/video-ninos-de-8-anos-aseguran-en-tv3-que-cambiarian-la-constitucion-espanola</t>
  </si>
  <si>
    <t>Mariano Soto</t>
  </si>
  <si>
    <t>Dada la importancia del asunto esperemos que el resto de líderes políticos también respondan @sanchezcastejon @Albert_Rivera @Pablo_Iglesias_ Está en juego el futuro de muchas familias que se ganan la vida honradamente produciendo alimentos. #Trasvase #agua #regadío #agua RT @manolobuitrago: Casado y Abascal responden a la llamada de los regantes para respaldar el Trasvase  vía @laverdad_es</t>
  </si>
  <si>
    <t>https://twitter.com/manolobuitrago/status/1070618675818913793
https://www.laverdad.es/murcia/casado-abascal-responden-20181206005403-ntvo.html</t>
  </si>
  <si>
    <t>Campo de Cartagena</t>
  </si>
  <si>
    <t>Dr. Ingeniero #Agrónomo. Secretario General @crccar. Profesor Asociado @UPCTnoticias Coordinador @Catedratrasjmc. #Regadío #Agua Perfil personal</t>
  </si>
  <si>
    <t>http://es.linkedin.com/in/marianosotogarcia/</t>
  </si>
  <si>
    <t>Casper, WY 82615</t>
  </si>
  <si>
    <t>Ciudadanos encarga una encuesta para decidir qué hace con Cifuentes  Ciudadanos quiere despejar sus dudas sobre qué papel adoptar ante el escándalo de Cristina Cifuentes y le ha pedido ayuda a las encuestas. El partido que lidera Albert Rivera ha encarga…</t>
  </si>
  <si>
    <t>https://ift.tt/2UoUNmC</t>
  </si>
  <si>
    <t>Casper, WY</t>
  </si>
  <si>
    <t>Consumer Credit Counseling in Casper, Wyoming 82615 call (800) 254-4100 https://www.facebook.com/Consumer-Credit-Counseling-in-Wyoming-352876335050325/ https://m.facebook.com/Consumer-Credit-Counseling-in-Wyoming-352876335050325/ http://es-la.facebook.com/Consumer-Credit-Counseling-in-Wyoming-352876335050325/</t>
  </si>
  <si>
    <t>https://www.facebook.com/Consumer-Credit-Counseling-in-Wyoming-352876335050325/</t>
  </si>
  <si>
    <t>Counter_Flow</t>
  </si>
  <si>
    <t>Menos uso partidista d l Constitución y más diálogo, q dsd q estás en política @Albert_Rivera empezó a crecer l confrontación en Cataluña y despertar ls monstruos dl Nazismo en ella y ahora lo has exportado a Andalucia despertando al franquismo, lo pillas❓o quieres otro 36❓😰😰 RT @Albert_Rivera: Con nuestra Constitución, los españoles definitivamente dejamos de ser enemigos para convertirnos en compatriotas, en ciudadanos libres e iguales. Desde el Congreso, el lugar que la vio nacer, feliz #DíaDeLaConstitución a todos. 🇪🇸 #40AñosDeConstitución</t>
  </si>
  <si>
    <t>Jerez del Marquesado, España</t>
  </si>
  <si>
    <t>Telemadrid</t>
  </si>
  <si>
    <t>.@albert_rivera "No en todos los lugares es fácil defender la Constitución y sus símbolos" 📡  #DiaDeLaConstitución</t>
  </si>
  <si>
    <t>http://www.telemadrid.es/emision-en-directo/</t>
  </si>
  <si>
    <t>pic.twitter.com/SS5mH6RiwZ</t>
  </si>
  <si>
    <t>Madrid (Spain)</t>
  </si>
  <si>
    <t>La actualidad de Madrid, nacional e internacional, y los últimos vídeos de programas como Tras la pista, Madrileños por el mundo, Madrid Directo...</t>
  </si>
  <si>
    <t>http://www.telemadrid.es</t>
  </si>
  <si>
    <t>Xavi</t>
  </si>
  <si>
    <t>Aquí la "Portavoza" y Candidata de @ahorapodemos @AdelanteAND en #Andalucía argumentando sólidamente sus ideas para mejorar la vida de los Andaluces. (LUEGO SE QUEJAN). @PPopular @ppandaluz @CiudadanosCs @Cs_Andalucia @JuanMa_Moreno @JuanMarin_Cs @pablocasado_ @Albert_Rivera</t>
  </si>
  <si>
    <t>pic.twitter.com/cKwVqIor6i</t>
  </si>
  <si>
    <t>Trabajando duro, working hard, travailler dur, treballant dur, traballando moito, lan gogorra......</t>
  </si>
  <si>
    <t>Jaime Joaquin Vidal</t>
  </si>
  <si>
    <t>¿Qué joroba?</t>
  </si>
  <si>
    <t>CIUDADANOS, Albert Rivera, los que dicen que son el " cambio " se reparten TV3. Cada uno que saque sus conclusiones...</t>
  </si>
  <si>
    <t>Mecachis... nolagustao a @Albert_Rivera</t>
  </si>
  <si>
    <t>https://pbs.twimg.com/media/Dtvnz8NXcAAJkif.jpg</t>
  </si>
  <si>
    <t>https://pbs.twimg.com/media/DtugT8fXgAApD6b.jpg</t>
  </si>
  <si>
    <t>La vida te devuelve lo que le has dado. Haz el bien. La solidaridad compartida se multiplica. Concordia, libertad, justicia, honradez, humildad y respeto.</t>
  </si>
  <si>
    <t>Schloß St Esteve de les Roures</t>
  </si>
  <si>
    <t>Animus jocandi. Alma mater: Universitat de Sant Esteve de les Roures (No he sabido latín en mi vida, Hulio)</t>
  </si>
  <si>
    <t>Cassalla Paradise</t>
  </si>
  <si>
    <t>#Constitucion40 #DiaDeLaConstitucion #ConstituciónEspañola #40AñosDeConstitución y 40 años después vivimos n 1 democracia llena d políticos corruptos y delincuents, d desigualdad, desahucios,...Todo l amparo d l constitución, eso sí @Albert_Rivera sólo ve españoles y compatriotas</t>
  </si>
  <si>
    <t>https://pbs.twimg.com/media/Dtuf_62W4AEsbpH.jpg</t>
  </si>
  <si>
    <t>Dios</t>
  </si>
  <si>
    <t>¿Os imagináis a Pablo Casado, Pedro Sánchez, Albert Rivera, Pablo Iglesias, Gabriel Rufián y Santiago Abascal pactando una Constitución?</t>
  </si>
  <si>
    <t>Allí donde solíamos gritar! PV</t>
  </si>
  <si>
    <t>Electrical Engineer i 'Aldeano' lost in translation. Indie a tope! No maltractar el planeta o no ens quedarà res! On està Déu? 😂😂😂 Eppur si muove!</t>
  </si>
  <si>
    <t xml:space="preserve">De Madrid al Cielo </t>
  </si>
  <si>
    <t>Vengo de una familia desestructurada: madre virgen,padre paloma y durmiendo en un pesebre.Autor de La Biblia y Palabra de Dios Tuitero infodiostuitero@gmail.com</t>
  </si>
  <si>
    <t>http://www.megustaleer.com/libros/palabra-de-dios-tuitero/AG14848</t>
  </si>
  <si>
    <t>Sr. Caracuel</t>
  </si>
  <si>
    <t>Que hoy en día un político ejerza con la #40AñosdeConstitución en la mano es garantía de legalidad, libertad y progresismo. Nunca más para atrás, siempre hacia el progreso y la adquisición de libertades en un estado de Derecho y respeto. Adelante, @CiudadanosCs @Albert_Rivera RT @Albert_Rivera: Con nuestra Constitución, los españoles definitivamente dejamos de ser enemigos para convertirnos en compatriotas, en ciudadanos libres e iguales. Desde el Congreso, el lugar que la vio nacer, feliz #DíaDeLaConstitución a todos. 🇪🇸 #40AñosDeConstitución</t>
  </si>
  <si>
    <t>Famélica legión 🔻🌍</t>
  </si>
  <si>
    <t>Ernesto Ekaizer @ErnestoEkaizer: “No confiaría en los principios de Albert Rivera porque no creo que los tenga...”  #40AñosDeConstitución</t>
  </si>
  <si>
    <t>https://www.rac1.cat/programes/versio/20181205/453379612086/ernesto-ekaizer-jo-no-confiaria-en-els-principis-de-rivera-perque-no-crec-que-els-tingui.html?utm_campaign=botones_sociales&amp;utm_source=whatsapp&amp;utm_medium=social&amp;utm_campaign=botones_sociales&amp;utm_source=twitter&amp;utm_medium=social</t>
  </si>
  <si>
    <t>¿Que los trabajadores deben pagar la crisis de banqueros y especuladores con recortes en educación, sanidad y servicios sociales? ¡FUERA DE AQUÍ FACHA INFAME! 😠</t>
  </si>
  <si>
    <t>https://www.youtube.com/channel/UCzxgc4H0oHpD_o05R7wmEAA</t>
  </si>
  <si>
    <t>Marbella</t>
  </si>
  <si>
    <t>Music for your existence. Historia del arte en el día a día, el Ser Humano por esencia. Hacer la vida un poco más intensa, esa es mi profesión.</t>
  </si>
  <si>
    <t>Dolça Catalunya</t>
  </si>
  <si>
    <t>Però TV3 no s'havia de tancar, amics de C's? Esto es lo que decía Albert Rivera el pasado abril: "Es intolerable que en un Estado de derecho, que en una democracia, una...</t>
  </si>
  <si>
    <t>https://www.dolcacatalunya.com/2018/12/que-hace-cs-repartiendose-los-asientos-en-tv3-con-el-separatismo/</t>
  </si>
  <si>
    <t>Seny de catalanes bajo el nacionalismo</t>
  </si>
  <si>
    <t>http://www.dolcaCatalunya.com</t>
  </si>
  <si>
    <t>Jorge Sanjuan M.</t>
  </si>
  <si>
    <t>Espero que como afiliado a @CiudadanosCs, @Albert_Rivera no pacte con el PSOE y sí lo haga con Vox.</t>
  </si>
  <si>
    <t>http://about.me/josemariarey2</t>
  </si>
  <si>
    <t>Cs Sev Este - Alcosa</t>
  </si>
  <si>
    <t>🇪🇸🍊 @CiudadanosCs con la #ConstitucionEspañola ¡Feliz Aniversario! #DiaDeLaConstitucion Por1 #España democrática y unida, defendiendo los valores de la Carta Magna democracia,libertad. Entrevista @Albert_Rivera motivo de los #40AñosDeConstitución 🗞</t>
  </si>
  <si>
    <t>https://pbs.twimg.com/media/DtuefqjWkAAjEzC.jpg</t>
  </si>
  <si>
    <t>Perfil oficial de Twitter Ciudadanos Sevilla Este - Alcosa - Torreblanca. Síguenos también en https://www.facebook.com/Ciudadanos-Sevilla-Este-Alcosa-Torreblanc</t>
  </si>
  <si>
    <t>Si esto es cierto @Albert_Rivera tiene que dar explicaciones RT @okdiario: #ÚLTIMAHORA | C's pacta con PSOE y Podemos librar a Sánchez de explicar su tesis ‘fake’ en la Asamblea de Madrid</t>
  </si>
  <si>
    <t>infoLibre</t>
  </si>
  <si>
    <t>Susana #Díaz reta a Albert #Rivera a aclarar si ante #Vox actuará como el presidente Macron o como Salvini</t>
  </si>
  <si>
    <t>http://ow.ly/Nmyz30mT9h8</t>
  </si>
  <si>
    <t>https://pbs.twimg.com/media/DtvjdkkWsAAIMb2.jpg</t>
  </si>
  <si>
    <t>Información libre e independiente. Apuesta por el periodismo de calidad. ¡Hazte soci@ y actúa!</t>
  </si>
  <si>
    <t>http://www.infolibre.es</t>
  </si>
  <si>
    <t>Cs Eivissa</t>
  </si>
  <si>
    <t>“La Constitución española de 1978 es una de las mejores del mundo. Eso es una realidad jurídica, política e histórica irrebatible”. @Albert_Rivera Hoy celebramos #40AñosdeConstitución 📔🇪🇸, de libertad, de justicia ⚖️ de igualdad 👫 y democracia 🗳. Feliz #DiaDeLaConstitución</t>
  </si>
  <si>
    <t>https://pbs.twimg.com/media/DtueYUzW4AAmWPc.jpg</t>
  </si>
  <si>
    <t>Ibiza-Eivissa</t>
  </si>
  <si>
    <t>Perfil Oficial de @CiudadanosIbiza</t>
  </si>
  <si>
    <t>http://baleares.ciudadanos-cs.org</t>
  </si>
  <si>
    <t>Alfonso</t>
  </si>
  <si>
    <t>Tome nota señor @Albert_Rivera , usted y su partido son "extremo". Son extremadamente incoherentes, incongruentes e inconsistentes en su comportamiento y posicionamiento político. El líder de uno los calificados "extremos" por usted, les ha llamado, con razón, la veleta naranja. RT @CiudadanosCs: 📽 @Albert_Rivera "Yo apelo a la organización de los moderados; no podemos volver a dejar España en la lógica de los rojos y los azules. España es un gran país, no podemos dejar que lo destruyan los extremos" #40añosdeConstitución</t>
  </si>
  <si>
    <t>https://twitter.com/CiudadanosCs/status/1070409652465270785</t>
  </si>
  <si>
    <t>Albert Rivera: “Ni Junqueras ni Puigdemont van a modificar la Constitución a su gusto” @elpais_espana  #6D #40añosdeConstitución #ReformaConstitución #Igualdad #TratadoDeUtrech #ReinoUnido #Brexit #Gibraltar #España</t>
  </si>
  <si>
    <t>pic.twitter.com/llrRyuaJlr</t>
  </si>
  <si>
    <t>http://www.multiforo.eu/Noticias/2018/Diciembre/Diciembre_06.htm</t>
  </si>
  <si>
    <t>#DíaDeLaConstitución | @Albert_Rivera @CiudadanosCs: "Esta #Constitución tiene futuro: dejemos los bloques y los enfrentamientos para el pasado" @Cs_CLM @OrlenaCs @constitucion40 #Constitución40</t>
  </si>
  <si>
    <t>pic.twitter.com/RZ3qAb0L56</t>
  </si>
  <si>
    <t>Almirón 🇪🇺</t>
  </si>
  <si>
    <t>.@Albert_Rivera recuerda que PP,PSOE y Cs tienen dos tercios en el Congreso para afrontar reformas de la Constitución pero sitúa al «sanchismo» como tapón para llevarlas adelante. Y apunta a la próxima legislatura: «Cuando se agote esta podría darse esa mayoría».</t>
  </si>
  <si>
    <t>Periodista. Redactor político en @abc_es</t>
  </si>
  <si>
    <t>http://www.abc.es/autor/victor-ruiz-de-almiron-lopez-1435/</t>
  </si>
  <si>
    <t>laSexta</t>
  </si>
  <si>
    <t>Antonio Schz Lorente</t>
  </si>
  <si>
    <t>Albert Rivera ha llamado a superar el "guerracivilismo de rojos y azules" para volver a unir a los españoles #ConstituciónARV #DíaDeLaConstitución</t>
  </si>
  <si>
    <t>📖🕊Hoy celebramos 40 años de Constitución, 40 años de UNIÓN, LIBERTAD Y DEMOCRACIA 👐 @CiudadanosCs @Albert_Rivera @CsRegionMurcia: Defenderemos la Constitución frente a independentistas y populistas, frente a los que quieren romperla #40AñosDeConstitución #ActualidadCs</t>
  </si>
  <si>
    <t>http://atres.red/3w0ag6</t>
  </si>
  <si>
    <t>pic.twitter.com/vLyMnKwrmf</t>
  </si>
  <si>
    <t>Todo el contenido de laSexta en nuestro perfil, en http://laSexta.com y en http://facebook.com/laSexta</t>
  </si>
  <si>
    <t>http://www.lasexta.com</t>
  </si>
  <si>
    <t>Murcia, Región de Murcia</t>
  </si>
  <si>
    <t>Abogado no ejerciente. Adjunto a la Secretaría de Programas y Áreas Sectoriales de Cs Región de Murcia. Ciclista aficionado.</t>
  </si>
  <si>
    <t>Zutano</t>
  </si>
  <si>
    <t>¿Alguien veía el programa de Cuatro que iba de debates y presentaba Mercedes Milá junto a Albert Rivera? Me flipaba.</t>
  </si>
  <si>
    <t>Oscar Valbuena</t>
  </si>
  <si>
    <t>#40AñosDeConstitución .@Albert_Rivera lo que usted quiere hacer en #Andalucia con #PP y la ultra derecha de #Vox precisamente no respeta los valores de la #ConstitucionEspañola</t>
  </si>
  <si>
    <t>Legazpi, Gipuzkoa</t>
  </si>
  <si>
    <t>Miguelito ❤💛💜</t>
  </si>
  <si>
    <t>Ingeniaria eta sozialista / Engineer &amp; Socialist / Ingeniero y portavoz @PSE_EE_Legazpi en Ayto #LegazpiHerria @PSEGipuzkoa @socialistavasco @PSOE</t>
  </si>
  <si>
    <t>Lo de #República en el avatar de Echenique me transmite la misma credibilidad que si se lo pusiera Albert Rivera......</t>
  </si>
  <si>
    <t>http://www.socialistasguipuzcoanos.com/legazpi</t>
  </si>
  <si>
    <t>Ejea de los Caballeros, España</t>
  </si>
  <si>
    <t>Ejeano. Me encanta mi pueblo sus fiestas y sus gentes. Hablo de politica pero también de historia, futbol, videojuegos y música rock.</t>
  </si>
  <si>
    <t>Jorge Soler Cantero</t>
  </si>
  <si>
    <t>Es muy curioso que @Albert_Rivera hable de + financiación autonómica, sanidad, educacion, queriendo pactar con VOX... #40AñosDeConstitución</t>
  </si>
  <si>
    <t>Llucmajor, España</t>
  </si>
  <si>
    <t>Mallorquí. Dret a la UIB. Socialista. Vocal a @conselljoventut Sec. d'educació i Universitat @jsibalears</t>
  </si>
  <si>
    <t>Europa Press</t>
  </si>
  <si>
    <t>José Á. Jarne</t>
  </si>
  <si>
    <t>En #Directo Desde el @Congreso_Es, el #presidente de @CiudadanosCs, @Albert_Rivera analiza los 40 años de la Constitución... #40AñosdeConstitución #DiaDeLaConstitución #Constitución1978 #ConstituciónEspañola #Constitución40 #40ConstituciónRTVE</t>
  </si>
  <si>
    <t>https://bit.ly/2QCm8Tn</t>
  </si>
  <si>
    <t>pic.twitter.com/5Ot0Y7Geqb</t>
  </si>
  <si>
    <t>https://pbs.twimg.com/media/Dtuc1fyW0AAqcJS.jpg</t>
  </si>
  <si>
    <t>La agencia de noticias privada líder en España | Síguenos también en Facebook: http://www.facebook.com/europapress.es e Instagram: https://www.instagram.com/europapress/</t>
  </si>
  <si>
    <t>http://www.europapress.es</t>
  </si>
  <si>
    <t xml:space="preserve">Gijón (España)     </t>
  </si>
  <si>
    <t>Dircom de @aenoveles y de @EditorialKurere. Miembro de @anisalud, y de @dircomasturias. #Protocolo #Eventos #Comunicacion #Prensa #Crisis #Salud #Cultura</t>
  </si>
  <si>
    <t>http://www.linkedin.com/profile/view?id=90216387&amp;trk=vsrp_people_pivotbar_coc_photo&amp;trkInfo=searchId</t>
  </si>
  <si>
    <t>Hoy es un día para celebrar y agradecer, pero también para mirar al futuro y seguir el ejemplo de nuestros padres constituyentes. No hay que resucitar los enfrentamientos y la España de los rojos y azules, sino unirnos para relanzar nuestro proyecto nacional #40AñosDeConstitución</t>
  </si>
  <si>
    <t>Alta voz</t>
  </si>
  <si>
    <t>Mi admiración por @Santi_ABASCAL . Una vida completa en la lucha por defender la unidad de España y la Constitución. Durante 1999-2007 continuamente amenazado por ETA, cuando asumió ser concejal LLodio. Esta persona asusta a @CiudadanosCs y @Albert_Rivera?? #40AñosDeConstitución</t>
  </si>
  <si>
    <t>Adrián Molina</t>
  </si>
  <si>
    <t>Albert Rivera es catalán y Santiago Abascal es vasco, dos valientes que han hecho frente al separatismo desde los dos puntos más difíciles donde defender a España.</t>
  </si>
  <si>
    <t>Since 1995 | Spanish and Italian languages | I love international football and especially Real Madrid, Naples and Southampton | Old italian music</t>
  </si>
  <si>
    <t>Armilla</t>
  </si>
  <si>
    <t>Bicis Solidarias</t>
  </si>
  <si>
    <t>Otra vez el facha capitalista @Albert_Rivera hablando de golpe de estado y golpistas en el referendum de #Catalunya @gabrielrufian</t>
  </si>
  <si>
    <t>https://pbs.twimg.com/media/DtuchZIWsAEFCe5.jpg</t>
  </si>
  <si>
    <t>#Ciclonudista #Veganismo #Bici #EconomíaDeRecursos #KillCapitalismNotAnimals #Desurbanización #EconomiaDeBarrio #PublicSpace #RoadVictims #CarsAreDeadly</t>
  </si>
  <si>
    <t>http://bicissolidarias.org</t>
  </si>
  <si>
    <t>Ric Rodríguez Maeso</t>
  </si>
  <si>
    <t>.@Albert_Rivera: "No es momento de rojos y azules. Es momento de suma. Tenemos la obligación de aprender de los padres de la Constitución y la obligación de mirar para el futuro y no mirar al pasado". @COPE</t>
  </si>
  <si>
    <t>Rivera marca distancias con Vox: "Negociaremos un acuerdo con el PP, espero que el PSOE no lo bloquee"  el presentimiento de que Marin y Valls acabarán col el y C'S, ojo Albert estás atiempo !</t>
  </si>
  <si>
    <t>Periodista político de la Cadena COPE. Informo de las Cortes y sigo al presidente del Gobierno. Colaboro con ESdiario.</t>
  </si>
  <si>
    <t>https://www.elespanol.com/espana/politica/20181205/rivera-distancias-vox-planteamos-pp-psoe-no/358464700_0.html.Tengo</t>
  </si>
  <si>
    <t>x una España + Unida + justa -Corrupta x una democracia no partitocracia .Mi opinión es personal y no comparto todo lo q RT</t>
  </si>
  <si>
    <t>🐬Rebeca💥</t>
  </si>
  <si>
    <t>Gran entrevista de @Albert_Rivera en el @el_pais con motivo de #40añosdeConstitución . @CiudadanosCs "aspira a rehabilitar el edificio, no a demolerlo". Más estadistas y mirar al futuro sin olvidar el pasado.</t>
  </si>
  <si>
    <t>https://pbs.twimg.com/media/DtucUjwW0AAyobA.jpg</t>
  </si>
  <si>
    <t>Santander, España</t>
  </si>
  <si>
    <t>Licenciada en Administración y Dirección de Empresas #Ciudadana</t>
  </si>
  <si>
    <t>https://www.facebook.com/rebecacg.cubero</t>
  </si>
  <si>
    <t>María Quílez</t>
  </si>
  <si>
    <t>📰 Entrevista a Albert Rivera “Ni Junqueras ni Puigdemont van a modificar la Constitución a su gusto”</t>
  </si>
  <si>
    <t>Graduada en Periodismo. Máster en Comunicación Política y Marketing Político en UAH. Dos pasiones: Comunicación y Política. En el centro está la virtud.</t>
  </si>
  <si>
    <t>http://instagram.com/maria_quilezv/</t>
  </si>
  <si>
    <t>Iñigo Aduriz</t>
  </si>
  <si>
    <t>Aquí con los #40AñosdeConstitucion en el Congreso, habla @Albert_Rivera</t>
  </si>
  <si>
    <t>https://pbs.twimg.com/media/Dtub4C1XgAACVPk.jpg</t>
  </si>
  <si>
    <t>Madrid - Donostia</t>
  </si>
  <si>
    <t>Kazetaria / Periodista. Trabajo en http://eldiario.es - Astero, @faktoriaEITB-n solaskide</t>
  </si>
  <si>
    <t>https://m.eldiario.es/autores/inigo_aduriz/</t>
  </si>
  <si>
    <t>Cs Canarias 🇮🇨</t>
  </si>
  <si>
    <t>📽 @Albert_Rivera "La Junta de Andalucía debe ser presidida por un partido que crezca y no esté manchado por la corrupción. El PP sigue pendiente de casos de corrupción y por eso Cs es una mejor opción para lograr la regeneración" 👇🏻</t>
  </si>
  <si>
    <t>pic.twitter.com/B0nMqix0tl</t>
  </si>
  <si>
    <t>Islas Canarias 🇮🇨</t>
  </si>
  <si>
    <t>Twitter Oficial de Ciudadanos (Cs) en Canarias 🇮🇨</t>
  </si>
  <si>
    <t>http://ciudadanos-cs.org</t>
  </si>
  <si>
    <t>Cs Vilassar de Mar</t>
  </si>
  <si>
    <t>📜 @Albert_Rivera "La mejor reforma de la Constitución es aplicarla" #40AñosDeConstitución⁠ ⁠ #DíaDeLaConstitución</t>
  </si>
  <si>
    <t>https://pbs.twimg.com/media/DtubIIwXQAABYb8.jpg</t>
  </si>
  <si>
    <t>IndependienteGranada</t>
  </si>
  <si>
    <t>.@susanadiaz pregunta a Albert Rivera si será como Macron u optará por Salvini y tendrá a Vox como "colaborador activo"</t>
  </si>
  <si>
    <t>Más comentados ahora en Derecha/Centro Dcha.: ➀ @FrayJosepho ↓ ➁ @JosPastr ↑↑ ➂ @Albert_Rivera ↓ ➃ @PPopular ↓ ➄ @sanchezcastejon ↑ ➅ @Pablo_Iglesias_ ↑↑ ➆ @ANDRES_CANO42 ↑ ➇ @ahorapodemos ↓ ➈ @agarzon ↑↑↑</t>
  </si>
  <si>
    <t>http://www.elindependientedegranada.es/politica/susana-diaz-pregunta-rivera-si-sera-como-macron-u-optara-salvini-tendra-vox-como</t>
  </si>
  <si>
    <t>https://pbs.twimg.com/media/DtvTgi2XQAEZ0bG.jpg</t>
  </si>
  <si>
    <t>Granada, Andalucía, España.</t>
  </si>
  <si>
    <t>Diario digital de información, análisis e ideas para lectores críticos. +Q1Diario. Libre e independiente. http://www.elindependientedegranada.es</t>
  </si>
  <si>
    <t>Más influyentes ahora en Derecha/Centro Dcha.: ➀ @FrayJosepho ↓ ➁ @JosPastr ↑↑ ➂ @Albert_Rivera ↓ ➃ @ANDRES_CANO42 ↑ ➄ @jordi_canyas ↑ ➅ @ldpsincomplejos ↑ ➆ @josepramonbosch ↑ ➇ @CristinaSegui_ ➈ @victoriah991</t>
  </si>
  <si>
    <t>Todo Radio🇪🇸</t>
  </si>
  <si>
    <t>ALBERT RIVERA: Mensaje día de la CONSTITUCIÓN:  via @YouTube</t>
  </si>
  <si>
    <t>http://youtu.be/Zn7EH6at6oY?a</t>
  </si>
  <si>
    <t>Cs Madrid Vicálvaro</t>
  </si>
  <si>
    <t>📜 @Albert_Rivera "La mejor reforma de la Constitución es aplicarla" #40AñosDeConstitución #DíaDeLaConstitución #ConstituciónEspañola #Constitución40</t>
  </si>
  <si>
    <t>Somo, Cantabria</t>
  </si>
  <si>
    <t>Playa de Somo,Cantabria. ESPAÑA</t>
  </si>
  <si>
    <t>https://www.youtube.com/channel/UCzAeV22GnQxwUBokDOEyb4A</t>
  </si>
  <si>
    <t>https://pbs.twimg.com/media/DtuZAGHXcAAGIHK.jpg</t>
  </si>
  <si>
    <t>vicalvaro, Madrid</t>
  </si>
  <si>
    <t>Perfil oficial de @CsMadridCiudad en distrito Vicálvaro. Partido político surgido de un movimiento de ciudadanos que quiere regenerar la política española</t>
  </si>
  <si>
    <t>isa</t>
  </si>
  <si>
    <t>F k m albert rivera, francisco serrano y pablo iglesias — vaya fotiga,,,, mato al serrano y a todo su partido ya que estamos :) me follo a rivera y después de eso me suicido…</t>
  </si>
  <si>
    <t>MRTCRXV 🎗</t>
  </si>
  <si>
    <t>Hola @InesArrimadas @Albert_Rivera ¿tampoco os callaran frente a esto o sólo usáis vuestro eslògan #NoNosCallaran para vuestros “supuestos” ataques? RT @diariARA: Òmnium Cultural denuncia atacs vandàlics a la seva seu. Difonen a través de Twitter imatges amb cartells i pancartes arrencades</t>
  </si>
  <si>
    <t>https://curiouscat.me/isapavonn/post/725743464?t=1544105007</t>
  </si>
  <si>
    <t>https://twitter.com/diariara/status/1070614354062651393
https://www.ara.cat/_18a7d?s=t</t>
  </si>
  <si>
    <t>CATALUNYA</t>
  </si>
  <si>
    <t>Construïm la República Catalana!</t>
  </si>
  <si>
    <t>freemangman</t>
  </si>
  <si>
    <t>¡¡"BRUTAL" la RESPUESTA de ALBERT RIVERA a una PERIODISTA sobre el CIS!!  via @YouTube</t>
  </si>
  <si>
    <t>https://youtu.be/Ki-nKw0krwY</t>
  </si>
  <si>
    <t>Joel 🇪🇸🇨🇺</t>
  </si>
  <si>
    <t>Estimado @Albert_Rivera ruego no tomes a tus simpatizantes por tontos, no se puede liderar a nadie desde la tercera posición, permitid el liderato al @PPopular y así desbloquear la situación</t>
  </si>
  <si>
    <t>https://pbs.twimg.com/media/DtuYXpuWwAA3upi.jpg</t>
  </si>
  <si>
    <t>Baleares</t>
  </si>
  <si>
    <t>Nacido en Cuba y Español integrado, obligado al exilio desde el año 2000 , sueño algún día volver a mi país y caminar por sus calles en total libertad ;)</t>
  </si>
  <si>
    <t>http://uncubanoencanarias.blogspot.com/</t>
  </si>
  <si>
    <t>Rafael Sánchez</t>
  </si>
  <si>
    <t>https://www.infolibre.es/noticias/politica/2018/12/06/susana_diaz_reta_rivera_aclarar_si_ante_vox_sera_como_macron_salvini_89614_1012.html?utm_source=twitter.com&amp;utm_medium=smmshare&amp;utm_campaign=noticias&amp;rnot=1085405</t>
  </si>
  <si>
    <t>Ronald C. Stern</t>
  </si>
  <si>
    <t>¿NO LO ENTIENDE USTED ASÍ, SEÑOR RIVERA @Albert_Rivera ? RT @reguerasilva1: No se a que juega Cs, cambia de opinión constantemente, ahora amenaza con repetición de las elecciones andaluzas si Moreno es Presidente, que más da quien sea Presidente si lo importante es echar la corrupción y está claro PP-Cs-VOX</t>
  </si>
  <si>
    <t xml:space="preserve"> Málaga Madrid</t>
  </si>
  <si>
    <t>Doctor en Periodismo UCM. Autor de `El control audiovisual de las campañas electorales`. Analista político.Miembro de ACOP @compolitica. Antes @telemadrid</t>
  </si>
  <si>
    <t>https://rafasanchezsite.wordpress.com/</t>
  </si>
  <si>
    <t>https://twitter.com/reguerasilva1/status/1070411615139520513</t>
  </si>
  <si>
    <t>Carcharoth</t>
  </si>
  <si>
    <t>Me ha gustado un vídeo de @YouTube ( - Asi se le instaura una idea al pueblo en la cabeza Albert Rivera y el</t>
  </si>
  <si>
    <t>http://youtu.be/pDbPPxqGafk?a</t>
  </si>
  <si>
    <t>Ronald is one of the five CEO’s who saved the Swiss Watch Industry from the attacks of the Japanese AND MADE IT NUMBER 1 WORLDWIDE</t>
  </si>
  <si>
    <t>https://www.linkedin.com/in/ronaldsternconsultants</t>
  </si>
  <si>
    <t>Cs Madrid Hortaleza</t>
  </si>
  <si>
    <t>📰 En el #40AñosDeConstitución os recomendamos el artículo de @Albert_Rivera⤵️ “Ni Junqueras ni Puigdemont van a modificar la Constitución a su gusto” Vía @elpais_espana 👇🏼</t>
  </si>
  <si>
    <t>Perfil oficial de @CsMadridCiudad en distrito Hortaleza. Partido político surgido de un movimiento de ciudadanos que quiere regenerar la política española.</t>
  </si>
  <si>
    <t>Diego Mateo</t>
  </si>
  <si>
    <t>Es fantástico ver a @CiudadanosCs y a @Albert_Rivera cabar su propia tumba. #TesisCumFraude RT @DaniPintoB: C's pacta con PSOE y Podemos librar a Sánchez de explicar su tesis ‘fake’ en la Asamblea de Madrid</t>
  </si>
  <si>
    <t>https://twitter.com/DaniPintoB/status/1070608491604312064
https://okdiario.com/espana/madrid/2018/12/05/cs-pacta-psoe-podemos-librar-sanchez-explicar-tesis-fake-asamblea-madrid-3432942#.XAjXZubK9Ig.twitter</t>
  </si>
  <si>
    <t>Albert Rivera @CiudadanosCs decide cambiar su característico logo de naranjito por uno nuevo a partir del pacto en Andalucía con VOX! Lo llama "constitucionalista", él no pacta con radicales de izquierda!</t>
  </si>
  <si>
    <t>Murcia, Spain</t>
  </si>
  <si>
    <t>Sí, pero yo soy el Presidente.</t>
  </si>
  <si>
    <t>https://pbs.twimg.com/media/DtvRH1bXcAEI8x_.jpg</t>
  </si>
  <si>
    <t>@ribad71</t>
  </si>
  <si>
    <t>Digo, que se nota q eres de letras, vamos a ver @Albert_Rivera y cía, donde veis que hayan votado cambio, si el @PSOE ha sido elegido como 1 fuerza ? Ni tan siquiera eres segundo, hazme caso por favor, cuenta 10' antes de hablar, bueno, mejor recita el cielo está enladrillado...! RT @JuanMarin_Cs: Los andaluces votaron cambio el 2D. Por ello, hoy hemos decidido en la #EjecutivaCs que el PSOE debe ir a la oposición y que será Cs, conmigo al frente, quien lidere el cambio que necesita #Andalucía. Abriremos negociación con el PP para que esto suceda. Ahora sí, cambio.</t>
  </si>
  <si>
    <t>Por aquellos que más lo necesitan !! 🌹✊</t>
  </si>
  <si>
    <t>#OjoAlTaco: El nazicapitalista @Albert_Rivera, p.ej, se auto-convence, se auto-engaña y se auto-contamina a sí mismo con sus mierdas cancerosas fascistas, pero las neuronas no son tontas y le convierten en gilipollas profundo para siempre...pero tiene drogas, sexo y alcohol.🍾..</t>
  </si>
  <si>
    <t>Melo Rodríguez</t>
  </si>
  <si>
    <t>Fundar tu propio país bajo los efectos de las drogas, el sueño de Albert Rivera. RT @cai_nyabel: Juguemos, cuál será tu logro en 2019?</t>
  </si>
  <si>
    <t>https://twitter.com/cai_nyabel/status/1070047800359088128</t>
  </si>
  <si>
    <t>https://pbs.twimg.com/media/DtmSzMDX4AAmi-V.jpg</t>
  </si>
  <si>
    <t>Las Palmas</t>
  </si>
  <si>
    <t>Proyecto de profesor. Nací la mañana de un miércoles, a principios de julio y a finales del s. XX y llevo 22 años queriéndome a mi mismo. Unión Pedro Hidalgo⚽❤</t>
  </si>
  <si>
    <t>http://www.instagram.com/melorguez</t>
  </si>
  <si>
    <t>David Comellas</t>
  </si>
  <si>
    <t>Explicárselo a @manuelvalls @Albert_Rivera ve irresponsable descartar escenarios de pacto, incluido VOX @lavanguardia</t>
  </si>
  <si>
    <t>http://shr.gs/eJH9v1V</t>
  </si>
  <si>
    <t>Abogado, padre y cuidador del bicho de la foto. Secretario @atmasnou</t>
  </si>
  <si>
    <t>Especial #40AñosDeConstitución Por pablocasado_ La Constitución de todos  Por Albert_Rivera Defender y actualizar nuestra Constitución</t>
  </si>
  <si>
    <t>Jordi Samperio</t>
  </si>
  <si>
    <t>Otra mas de @Albert_Rivera y los suyos, reniegan de los independentistas,excepto si es para repartirse cargos,q entonces si pacta y habla con ellos</t>
  </si>
  <si>
    <t>Getxo,Bizkaia</t>
  </si>
  <si>
    <t>Cs Villalbilla</t>
  </si>
  <si>
    <t>📖 Desde @CsVillalbilla deseamos a todos los vecinos de #Villalbilla un feliz día en nuestros #40AñosDeConstitución "La Constitución es el Alma de los Estados" -Sócrates- @Albert_Rivera @ignacioaguado @miguelalezcano @j_manuelsalazar @jlrvillalbilla</t>
  </si>
  <si>
    <t>https://pbs.twimg.com/media/DtuS87lWwAALipZ.jpg</t>
  </si>
  <si>
    <t>Villalbilla</t>
  </si>
  <si>
    <t>Perfil oficial de @Cs_Madrid en VILLALBILLA. Conecta también en Facebook 📲🍊https://www.facebook.com/Ciudadanos-Cs-Villalbilla-740644196022313/?fref=ts</t>
  </si>
  <si>
    <t>Enhorabuena a Penélope Cruz y Antonio Banderas, nominados a los Globos de Oro por cuarta vez. Dos grandes de nuestro cine que no paran de coleccionar éxitos. ¡Mucha suerte! 👏🏻👏🏻👏🏻 #GoldenGlobes</t>
  </si>
  <si>
    <t>https://www.elespanol.com/cultura/cine/20181206/penelope-cruz-antonio-banderas-nominados-globos-oro/358714492_0.html</t>
  </si>
  <si>
    <t>Ojiplatico🇪🇸</t>
  </si>
  <si>
    <t>#FelizJueves #40AñosDeConstitución @CiudadanosCs @Albert_Rivera @InesArrimadas ¿En serio? A Podemos se les vio el plumero después de pisar moqueta... a vosotros antes? Mal mal mal... RT @CristinaSegui_: C's pacta con PSOE y Podemos librar a Sánchez de explicar su tesis ‘fake’ en la Asamblea de Madrid</t>
  </si>
  <si>
    <t>Ni lobo ni cordero. Perro guardián. Manejar con cuidado. Ataraxia. España no está disponible para vuestra basura.</t>
  </si>
  <si>
    <t>Jose 'on fire' 🅥</t>
  </si>
  <si>
    <t>Buscáis tanto la confrontación que os da votos que, nada más llegar, lo primero que hacer vuestro patético @Albert_Rivera es sacar el móvil para grabar. RT @jordi_canyas: 40 años de Constitución que nos recuerdan día a día que el totalitarismo y el fascismo sigue vivo en Cataluña. Acosan, intimidan, amenazan e intentan impedir la libertad política y de opinión, pero no lo conseguirán. Serán derrotados. Volverán a su fosa séptica ética y moral.</t>
  </si>
  <si>
    <t>https://twitter.com/jordi_canyas/status/1070412489207238657</t>
  </si>
  <si>
    <t>pic.twitter.com/4EhDwSZ5SJ</t>
  </si>
  <si>
    <t>Kiribati</t>
  </si>
  <si>
    <t>Interpreto personajes, doblo sus voces, juego a ciencias con los datos, pulso teclas... y sin explotar animales.</t>
  </si>
  <si>
    <t>Joaquín.</t>
  </si>
  <si>
    <t>Albert Rivera,dice que el PSOE,se ha instalado en el "Sanchismo" y ha decidido "romper la mayoría del constitucionalismo" dice que rechaza el "guerracivilismo" entre la izquierda,la derecha y el centro. Dónde estás tú Rivera,solo te queda la ultraderecha-fascista. #felizjueves</t>
  </si>
  <si>
    <t>José A Martínez🔻 #AntiFascista</t>
  </si>
  <si>
    <t>#VivaElRey #VivaElOrdenYLaLey #FrancoSeQueda decían @pablocasado_ y @Albert_Rivera abrieron la puerta al discurso de #FusilemosALosRojos #ExpulsionInmigrantes stop #feminismo de @Santi_ABASCAL y @vox_es. Contra el fascismo más @elpce...</t>
  </si>
  <si>
    <t>VIGO-GALICIA</t>
  </si>
  <si>
    <t>Vine a Twitter con la idea de luchar contra todas las injusticias. La justicia no es igual para tod@s. El corazón a la izquierda. Salud y República.</t>
  </si>
  <si>
    <t>https://pbs.twimg.com/media/DtuOTSJXQAEft_N.jpg</t>
  </si>
  <si>
    <t>Andalucía: Albert Rivera dispuesto al pacto con el PP y sin descartar a VOX pero con Marín de presidente</t>
  </si>
  <si>
    <t>https://okdiario.com/espana/andalucia/2018/12/05/rivera-dispuesto-pacto-pp-sin-descartar-vox-pero-marin-presidente-3430883#.XAkm9xX7H8s.twitter</t>
  </si>
  <si>
    <t>Secretario Político del @PCESevillalocal Miembro Secretariado Provincial @PCA_sevilla Militante del @PCECerroAmate</t>
  </si>
  <si>
    <t>http://pcasevillalocal.org</t>
  </si>
  <si>
    <t>InfoHeaders_Test</t>
  </si>
  <si>
    <t>INFH NDPNTSM 061218144013 Albert Rivera pide superar el guerracivilismo y llama al PP a unirse a Ciudadanos y PSOE para afrontar una reorma constitucional</t>
  </si>
  <si>
    <t>Cuenta experimental para la creación de diarios privados para 'The InfoHeaders Journal'.</t>
  </si>
  <si>
    <t>http://www.infoheaders.com</t>
  </si>
  <si>
    <t>Iñaky</t>
  </si>
  <si>
    <t>Al próximo que os hable de @Albert_Rivera enseñadle como ha acabado el naranjito francés y su neoliberalismo 🤔👇 RT @EuropeElects: France, YouGov poll: President Macron Approval Rating Approve: 18% (-3) Disapprove: 76% (+7) Field work: 28/11/18 – 29/11/18 Sample size: 1,006</t>
  </si>
  <si>
    <t>salvy mendoza</t>
  </si>
  <si>
    <t>Rivera rechaza el "guerracivilismo" porque no ve "enemigos" en la izquierda ni la derecha, sólo "compatriotas"  vía @epnacional</t>
  </si>
  <si>
    <t>https://twitter.com/EuropeElects/status/1070602399461597184</t>
  </si>
  <si>
    <t>Andalucía</t>
  </si>
  <si>
    <t>Torroella de Montgri</t>
  </si>
  <si>
    <t>Andaluz y orgulloso. Antifascista. Vive y lucha cada segundo. Bioquímica UCLM. #LosMejores</t>
  </si>
  <si>
    <t>Fotógrafo, comunicador, aviador, Valencianista y Empordanès</t>
  </si>
  <si>
    <t>http://instagram.com/inakyred</t>
  </si>
  <si>
    <t>http://fotolosal.blogspot.com/</t>
  </si>
  <si>
    <t>Sergio R. Aranoa #VotaPSOE</t>
  </si>
  <si>
    <t>.@Albert_Rivera nacionalismo es el catalán que combates pero también con el que quieres pactar en #Andalucia. Pedazo de manipulador populista. Hipocresia RT @Albert_Rivera: Nacionalismo y populismo son hoy las mayores amenazas a España y a Europa. Iglesias ataca diariamente a la Constitución y a la Jefatura del Estado. Yo si tengo que escoger entre él o Felipe VI... Qué queréis que os diga 😉 #40AñosDeConstitución</t>
  </si>
  <si>
    <t>El PP, dispuesto a dar a Cs la presidencia del Parlamento andaluz dentro de un pacto global  Otra vez Albert Rivera y M,Rajoy!</t>
  </si>
  <si>
    <t>De Bilbao, (Capital del Mundo) Ni barbas ni coletas. Prefiero el puño y la rosa. @PSOE</t>
  </si>
  <si>
    <t>http://a.msn.com/01/es-es/BBQxV6m?ocid=st</t>
  </si>
  <si>
    <t>pablo puyol</t>
  </si>
  <si>
    <t>40 cumpleaños de la constitución, espero que el regalo de @Albert_Rivera @pablocasado_ no sea pactar con vox @PSOE @CiudadanosCs @PPopular @ahorapodemos #democraciasi #ultraderechano</t>
  </si>
  <si>
    <t>laSexta Noticias</t>
  </si>
  <si>
    <t>El líder de Ciudadanos ha pedido al presidente del Gobierno, Pedro Sánchez, que vuelva al bloque constitucionalista #ConstituciónARV</t>
  </si>
  <si>
    <t>http://atres.red/3w0ag4</t>
  </si>
  <si>
    <t>El twitter de laSexta | Noticias. Te contamos todo lo que ocurre en el momento que ocurre.</t>
  </si>
  <si>
    <t>http://www.lasexta.com/noticias/</t>
  </si>
  <si>
    <t>Aqui uno que dice ser de centro que quiere pactar con la derecha del #PP y la ultraderecha de #Vox. A los votantes de @CiudadanosCs os digo una cosa: ¿no os da vergüenza votar al partido de @Albert_Rivera? RT @JuanMarin_Cs: Los andaluces votaron cambio el 2D. Por ello, hoy hemos decidido en la #EjecutivaCs que el PSOE debe ir a la oposición y que será Cs, conmigo al frente, quien lidere el cambio que necesita #Andalucía. Abriremos negociación con el PP para que esto suceda. Ahora sí, cambio.</t>
  </si>
  <si>
    <t>Antonio FSE</t>
  </si>
  <si>
    <t>Estremecedor vídeo: Pablo Rivera y Albert Casado decidiendo cuál le come la polla a Abascal.</t>
  </si>
  <si>
    <t>pic.twitter.com/hrPR9Xnryk</t>
  </si>
  <si>
    <t>Soy más majo en persona que por Twitter. Y menos quejica #SocialMedia y #Poesía</t>
  </si>
  <si>
    <t>http://antoniofse.com/</t>
  </si>
  <si>
    <t>☀️☕️ ¡Buenos días! Hoy @el_pais publica una entrevista a @Albert_Rivera con motivo de los #40AñosDeConstitución. 🗣 "Ciudadanos tiene un documento reformista muy ambicioso y podemos llegar a acuerdos con otros partidos" 🗞 Léela completa en</t>
  </si>
  <si>
    <t>https://pbs.twimg.com/media/DtuOcQUW0AI-0xA.jpg</t>
  </si>
  <si>
    <t>#VivaElRey #VivaElOrdenYLaLey #FrancoSeQueda decían @pablocasado_ y @Albert_Rivera abrieron la puerta al discurso de #FusilemosALosRojos #ExpulsionInmigrantes stop #feminismo de @Santi_ABASCAL y @vox_es. Contra el fascismo más @elpce #JaqueAlRégimenDel78 #RepúblicaYa</t>
  </si>
  <si>
    <t>#desPujolización 🛂🇬🇬🇪🇸+=</t>
  </si>
  <si>
    <t>Cs se equivocó al enviar a Albert Rivera a Madrid. Cs, Rivera, se equivoca ahora al buscar el espacio de centro-izquierda que están abandonado los traidores guerracivilistas del PSOE. Girauta es la única esperanza para un giro liberal.</t>
  </si>
  <si>
    <t>María NH</t>
  </si>
  <si>
    <t>Gracias, porque nuestras libertades no dependan hoy, de que se pusieran de acuerdo, gente como Recalculando Sánchez, @sanchezcastejon @circulopodemos @gabrielrufian , @pablocasado_ @Albert_Rivera !!! 🤦‍♀️ #Constitución40</t>
  </si>
  <si>
    <t>€$paÑa (BCN is not CAT)</t>
  </si>
  <si>
    <t>Catalán *hispanófono*. Solo individuo. NeoEsperantista 🗣🇪🇸🇺🇸 Contra la tiranía del catalanismo excluyente, #desPujolización</t>
  </si>
  <si>
    <t>https://twitter.com/LibTuit/lists/medios-cat-esp</t>
  </si>
  <si>
    <t>Samurob1</t>
  </si>
  <si>
    <t>Nuevamente el niño Rivera de C's. "No es el momento de rojos y azules", y el claro sigue azul. La hipocresía tiene nombre y apellido Albert Rivera. Lo q dice, lo remedia haciendo lo contrario, y lo q hace lo esconde como sorpresa democrática. Q tipo!</t>
  </si>
  <si>
    <t>Técnico en Administración Electrónica . Si unes a 1 fanático con 1.000 ignorantes, tendrás 1.001 fanáticos</t>
  </si>
  <si>
    <t>Elisa😉 #8octYoEstuveAllí</t>
  </si>
  <si>
    <t>No entiendo a @Albert_Rivera ,con sus actuaciones, parece empeñado en cavar la tumba de su partido...reconozco que le voté, pero nunca más amigo!!! RT @Pecoseta56: C's pacta con PSOE y Podemos librar a Sánchez de explicar su tesis ‘fake’ en la Asamblea de Madrid</t>
  </si>
  <si>
    <t>Manuel Valls riñe a Albert Rivera por abrir la puerta a Vox y le reclama que no haga pactos "ni con el populismo ni con el separatismo"</t>
  </si>
  <si>
    <t>https://www.eldiario.es/catalunya/politica/Valls-Rivera-Vox-populismo-separatismo_0_843066684.html</t>
  </si>
  <si>
    <t>https://pbs.twimg.com/media/DtvEJ2bXgAAXhq3.jpg</t>
  </si>
  <si>
    <t xml:space="preserve"> Cataluña "la abandonada"</t>
  </si>
  <si>
    <t>CATALANA por tanto ESPAÑOLA y EUROPEA. TL no apto para secesionistas, bloqueo automáticamente.</t>
  </si>
  <si>
    <t>HERALDO publica hoy tanto en su edición impresa como en digital un ESPECIAL sobre los 40 años de la #ConstituciónEspañola con artículos de @sanchezcastejon, @pablocasado_, @Albert_Rivera e @ierrejon  #40AñosDeConstitución</t>
  </si>
  <si>
    <t>http://heral.do/hsqdm1</t>
  </si>
  <si>
    <t>https://pbs.twimg.com/media/DtuNeQaW4AAGUZZ.jpg</t>
  </si>
  <si>
    <t>Miguel Aracil</t>
  </si>
  <si>
    <t>Albert Rivera: “Ni Junqueras ni Puigdemont van a modificar la Constitución a su gusto”  vía @elpais_espana</t>
  </si>
  <si>
    <t>Barcelona; Catalunya; España</t>
  </si>
  <si>
    <t>Periodista y escritor, mis pasos me han llevado a moverme por el mundo del misterio y de todo lo que tiene dos explicaciones: la ortodoxa y la heterodoxa</t>
  </si>
  <si>
    <t>http://www.miguelaracil.com</t>
  </si>
  <si>
    <t>María Igartua</t>
  </si>
  <si>
    <t>Entre cabezas anda el juego... @Albert_Rivera @Pablo_Iglesias_ y ¿@Santi_ABASCAL?</t>
  </si>
  <si>
    <t>Sara Martin</t>
  </si>
  <si>
    <t>#spanishpress Abuchear a Albert Rivera,mal.Abuchear a @sanchezcastejon,bien.PD:Me parecen mal las dos cosas.A mí sí.</t>
  </si>
  <si>
    <t>https://www.elconfidencial.com/cultura/2018-12-06/cronica-urgente-espana-museo-cera-cabeza-rivera-broma_1678174/</t>
  </si>
  <si>
    <t>Naci el mismo dia que Grace Kelly,tiempo despues,claro y todo el mundo coincide en que no nos parecemos.Marditohoroscopo.Ahora en Madrid!!</t>
  </si>
  <si>
    <t>http://manutenorio2.blogspot.com/</t>
  </si>
  <si>
    <t>Redactora de Economía y Mercados con opiniones propias</t>
  </si>
  <si>
    <t>juan V. del Moral 🎗</t>
  </si>
  <si>
    <t>Feliz día de la #ConstitucionEspanola a los constitucionalistas de pacotilla como @Santi_ABASCAL que se la saltan por el art. 2, y a @pablocasado_ y @Albert_Rivera por el art. 113. #40AñosDeConstitución, pero sólo a medias?</t>
  </si>
  <si>
    <t>Carlos Recamán</t>
  </si>
  <si>
    <t>¿Recordáis cuando nuestra mayor preocupación política era que consiguiese votos Albert Rivera? ¡No hace ni un mes de eso y ya parece el pasado lejano!</t>
  </si>
  <si>
    <t>Graduando ~ Ciencias Políticas UGR - IG: @juanvidelmoral</t>
  </si>
  <si>
    <t>Misándrica. 死んで下さい</t>
  </si>
  <si>
    <t>http://ladoucedecheance.wordpress.com/</t>
  </si>
  <si>
    <t>Sevilla 24 horas</t>
  </si>
  <si>
    <t>Susana Díaz reta a Rivera a aclarar si, ante Vox, será como Macron o Salvini  La presidenta de Andalucía en funciones, Susana Díaz, ha retado este jueves al líder de Ciudadanos, Albert Rivera, a decir si quiere ser como el presidente francés, Emmanuele M…</t>
  </si>
  <si>
    <t>Más comentados ahora en Derecha/Centro Dcha.: ➀ @sanchezcastejon ↓ ➁ @PPopular ↑↑ ➂ @Albert_Rivera ↑ ➃ @ahorapodemos ↑ ➄ @InesArrimadas ↑ ➅ @ANDRES_CANO42 ↓ ➆ @vox_es ↑ ➇ @josepramonbosch ↑ ➈ @Santi_ABASCAL ↑</t>
  </si>
  <si>
    <t>https://ift.tt/2SuvJcn</t>
  </si>
  <si>
    <t>Sevilla, Andalucía</t>
  </si>
  <si>
    <t>Diario digital con noticias de Sevilla, Andalucía y el mundo</t>
  </si>
  <si>
    <t>http://www.sevilla24horas.com</t>
  </si>
  <si>
    <t>Juan Antonio Parra</t>
  </si>
  <si>
    <t>.@Albert_Rivera muestra la patita joseantoniana.</t>
  </si>
  <si>
    <t>http://mediterraneo.diario16.com/rivera-muestra-la-patita-joseantoniana/</t>
  </si>
  <si>
    <t>Murcia (Españistán)</t>
  </si>
  <si>
    <t>Aficionado a las buenas músicas del mundo y al baloncesto. Indignado, no. Hasta los huevos... Instagram: @j.parrag</t>
  </si>
  <si>
    <t>Más influyentes ahora en Derecha/Centro Dcha.: ➀ @Albert_Rivera ↑ ➁ @ANDRES_CANO42 ↓ ➂ @juanchoex ↑ ➃ @josepramonbosch ↑ ➄ @CristinaSegui_ ↓ ➅ @ldpsincomplejos ↓ ➆ @victoriah991 ↑ ➇ @jordi_canyas ↑ ➈ @GPPopular ↑</t>
  </si>
  <si>
    <t>Diario CÓRDOBA</t>
  </si>
  <si>
    <t>. @Albert_Rivera @CiudadanosCs prioriza negociar con el @ppandaluz pero no descarta a la ultraderecha</t>
  </si>
  <si>
    <t>http://ow.ly/rw6m30mSS1V</t>
  </si>
  <si>
    <t>Córdoba</t>
  </si>
  <si>
    <t>Cuenta oficial de Diario CÓRDOBA. Periódico líder en #Prensa y #Digital de #CórdobaESP. También en Facebook https://www.facebook.com/DiarioCORDOBA.es/</t>
  </si>
  <si>
    <t>http://www.diariocordoba.com</t>
  </si>
  <si>
    <t>Rosa García</t>
  </si>
  <si>
    <t>La Constitución española de 1978 es una de las mejores del mundo. Eso es una realidad jurídica, política e histórica irrebatible. @Albert_Rivera #40añosdeconstitución #ConstituciónEspañola</t>
  </si>
  <si>
    <t>https://pbs.twimg.com/media/DtuKxuNW4AAc0d1.jpg</t>
  </si>
  <si>
    <t>Natacrespo@40</t>
  </si>
  <si>
    <t>En @eccultura: Tráeme la cabeza de Albert Rivera: la gran broma del Museo de Cera... no es lo que piensas</t>
  </si>
  <si>
    <t>Alcoy</t>
  </si>
  <si>
    <t>Diputada @cortsval. De @cs_alcoy. Ptavoz Industria🏗 y MedAmb🌱 Secr/Prov Comunic🔊 Alicante #Beatles #Stones #Elvis #Bambino #Quevedo</t>
  </si>
  <si>
    <t>https://www.elconfidencial.com/cultura/2018-12-06/cronica-urgente-espana-museo-cera-cabeza-rivera-broma_1678174/?utm_source=twitter&amp;utm_medium=social&amp;utm_campaign=BotoneraWeb</t>
  </si>
  <si>
    <t>https://www.facebook.com/pages/Fans-de-Nata-Crespo/175113679168414?ref=stream</t>
  </si>
  <si>
    <t>Luis G de Mariaca</t>
  </si>
  <si>
    <t>Cada paso que está dando @Albert_Rivera últimamente parece que es diferente a lo que dice para ganar los votos que obtiene. Eso a largo plazo puede ser su final. #VikingosTeam</t>
  </si>
  <si>
    <t>Ciudadano del universo y loco por el Golf... Drive your destiny, approach your identity, putt your goals in life and stay away from hazard and roughs</t>
  </si>
  <si>
    <t>Manolo Cabrera</t>
  </si>
  <si>
    <t>Vergüenza le tenía que dar a @enmarchefr y socios de aceptar a Vox @Albert_Rivera @CiutadansCs @manuelvalls siendo cómplices de la ultraderecha de la semilla del odio, vs la inmigración, misóginos y antieuropeista</t>
  </si>
  <si>
    <t>https://pbs.twimg.com/media/DtuJ3aDW0AAahbz.jpg</t>
  </si>
  <si>
    <t>Madridista y socialdemócrata</t>
  </si>
  <si>
    <t>Naranjo Citizen</t>
  </si>
  <si>
    <t>Los estudiantes no respetan la #legalidad Boicot estudiantil a un acto de @CiudadanosCs sobre la #Constitución en el que intervienen @InesArrimadas, @Albert_Rivera y Valls</t>
  </si>
  <si>
    <t>http://www.lavozdegalicia.es/noticia/espana/2018/12/05/medio-centenar-alumnosboicotean-acto-sobre-constitucion-intervienen-arrimadas-rivera-valls/00031544034562786616282.htm</t>
  </si>
  <si>
    <t>Grupo de simpatizantes seguidores de @CiudadanosCs, el partido que mejora España. Simpatizantes (no oficial) #Andalucia</t>
  </si>
  <si>
    <t>Vicente Nicolau</t>
  </si>
  <si>
    <t>#ReflexionDelDia @pablocasado_ @Pablo_Iglesias_ @Albert_Rivera @sanchezcastejon ...y todos los que trabajáis para el #Pueblo. Hoy es un buen.dia para un acto de contrición. Esto se os está yendo de las manos. El precio puede ser demasiado alto. Feliz día de la Constitución 🌻</t>
  </si>
  <si>
    <t>Tato kYd</t>
  </si>
  <si>
    <t>Feliz #DiaDeLaConstitucion mas obsoleta que te puedas echar a la cara. Para @Albert_Rivera, para @Santi_ABASCAL, para @pablocasado_, para @sanchezcastejon, para ti, para toda la familia. 🖕🏻</t>
  </si>
  <si>
    <t>Noticias Cuatro</t>
  </si>
  <si>
    <t>Rivera lamenta que no exista el consenso del 78 para hablar de una eventual reforma de la #ConstituciónEspañola</t>
  </si>
  <si>
    <t>Residente del mundo - Amante, amigo y compañero de la mujer de mi vida - Vividor de experiencias - Autodidacta</t>
  </si>
  <si>
    <t>http://bit.ly/2KZbS2u</t>
  </si>
  <si>
    <t>https://pbs.twimg.com/media/Dtu8jChX4AAF_lE.jpg</t>
  </si>
  <si>
    <t>La redacción de noticias de @cuatro te cuenta la última hora y todas las novedades del día | http://www.facebook.com/noticiascuatro</t>
  </si>
  <si>
    <t>http://www.cuatro.com/noticias</t>
  </si>
  <si>
    <t>Un ciudadano normal</t>
  </si>
  <si>
    <t>¿En serio @Albert_Rivera @GirautaOficial ? RT @RABAGOISABEL: El Okupa #DoctorCortaYPega no explicará “su plagio de tesis” Gracias a #Ciudadanos #Cs siempre al lado del #PSOE Y como diría la Pantoja “Por si hay alguna duda, en el aire...” #Cs = #PSOE Aunque “los suyos en los medios” lo maquillen... Qué vergüenza y qué decepción!!</t>
  </si>
  <si>
    <t>https://twitter.com/rabagoisabel/status/1070446602236690432
https://twitter.com/okdiario/status/1070428145763921926</t>
  </si>
  <si>
    <t>No creo en fronteras</t>
  </si>
  <si>
    <t>Economista,emprendedor. Apasionado de la tecnología. Español/Inglés/Italiano/Catalán</t>
  </si>
  <si>
    <t>Abraham R.</t>
  </si>
  <si>
    <t>Dice Albert Rivera que no es momento de guerracivilismo, que no es momento de rojos y azules, que es momento de estar unidos y sumar. Y estoy completamente de acuerdo. Pero eso que se lo diga a los de morado, que son los que están fomentando odio día si día también</t>
  </si>
  <si>
    <t>MARISOL FUENTES</t>
  </si>
  <si>
    <t>.@pabloiglesias78 de @ahorapodemos plantea a @Albert_Rivera de @CiudadanosCs que ponga "encima de la mesa" un #acuerdo para #Andalucía</t>
  </si>
  <si>
    <t>Salamanca</t>
  </si>
  <si>
    <t>Música, Cine (Sobre Todo El Clásico), Historia, Basket, Magic Johnson, Mark Knopfler, Drazen Petrovic, UDS, Real Madrid. De Salamanca Al Cielo</t>
  </si>
  <si>
    <t>Francesc Roldán</t>
  </si>
  <si>
    <t>Albert Rivera: “Ni Junqueras ni Puigdemont van a modificar la Constitución a su gusto” y menos desde el trullo y la mansion</t>
  </si>
  <si>
    <t>GRANADA / ANDALUCIA / SPAIN</t>
  </si>
  <si>
    <t>Ingeniera de Telecomunicación y M.B.A.. 🇪🇸 La Política es la mayor obra de Caridad del ser humano, siempre construyendo puentes, no muros (Papa Francisco).</t>
  </si>
  <si>
    <t>barcelona</t>
  </si>
  <si>
    <t>Intentando ayudar a los otros si se puede</t>
  </si>
  <si>
    <t>https://mobbingextenuante.blogspot.com</t>
  </si>
  <si>
    <t>40 años: el agujero de la España vacía crece @UEmadrid @CasaReal @sanchezcastejon @pablocasado_ @Pablo_Iglesias_ @Albert_Rivera  vía @LoDeCultura</t>
  </si>
  <si>
    <t>https://www.libertaddigital.com/cultura/historia/2018-12-06/pedro-fernandez-barbadillo-40-anos-el-agujero-de-la-espana-vacia-crece-86650/</t>
  </si>
  <si>
    <t>david betrian</t>
  </si>
  <si>
    <t>Defender y actualizar nuestra Constitución</t>
  </si>
  <si>
    <t>Macron ante las protestas d los chalecos amarillos retira subida impuestos de gasolina y en plan populista tip😁 @Albert_Rivera recupera el Impuesto patrimonio grandes fortunas/que anulo / La seriedad de los liberales consiste en ser un veleta</t>
  </si>
  <si>
    <t>http://shr.gs/WptWZpC</t>
  </si>
  <si>
    <t>http://agendapublica.elpais.com/nuevo-papel-del-impuesto-al-patrimonio-macron-vs-piketty/</t>
  </si>
  <si>
    <t>Maestro educación primaria DGA / Estudiante de Ciencias Políticas UNED/ Deportista aficionado / coordinador Ciudadanos Fraga - Bajo Cinca</t>
  </si>
  <si>
    <t>donDiario.com</t>
  </si>
  <si>
    <t>Los CDR 'escrachean' un acto de @CiudadanosCs y @manuelvalls en Barcelona  #CDR #Cataluña #Violencia #Liceu</t>
  </si>
  <si>
    <t>https://bit.ly/2Uf1IyO</t>
  </si>
  <si>
    <t>https://pbs.twimg.com/media/DtueO2aWkAAnjdN.jpg</t>
  </si>
  <si>
    <t>Cs Mollet</t>
  </si>
  <si>
    <t>Ayer por la tarde nuestro Portavoz @FcoMunozCs y nuestros jóvenes @Blancacl_ e @IvanCiutadans, acudieron al coloquio de los 40 años de Constitucionalismo con @Albert_Rivera, @InesArrimadas y @manuelvalls. Como dijo Albert: “La ley es el poder de quien no tiene poder”. #Csteam</t>
  </si>
  <si>
    <t>Twitter oficial del diario digital http://donDiario.com . ➡ Facebook: https://www.facebook.com/donDiario/ Instagram: https://www.instagram.com/dondiario</t>
  </si>
  <si>
    <t>http://www.dondiario.com/</t>
  </si>
  <si>
    <t>https://pbs.twimg.com/media/DtuEPL8W4AUojLI.jpg</t>
  </si>
  <si>
    <t>Manuel Montalvo</t>
  </si>
  <si>
    <t>Mollet del Vallès</t>
  </si>
  <si>
    <t>Twitter oficial de Ciutadans Cs Mollet del Vallès</t>
  </si>
  <si>
    <t>Abogado, ciudadano digital , viajero incansable amante de la fotografía y la naturaleza que #MiMaaCordoba</t>
  </si>
  <si>
    <t>https://www.facebook.com/manuel.montalvo.73</t>
  </si>
  <si>
    <t>Babunita Seco</t>
  </si>
  <si>
    <t>Buenos días @Albert_Rivera Hasta el infinito y más allá!!!! RT @CristinaSegui_: C's pacta con PSOE y Podemos librar a Sánchez de explicar su tesis ‘fake’ en la Asamblea de Madrid</t>
  </si>
  <si>
    <t>GlaciarCity España</t>
  </si>
  <si>
    <t>http://blogdebabunita.blogspot.com/</t>
  </si>
  <si>
    <t>🏛 Es un honor celebrar los #40AñosDeConstitución desde el hemiciclo del Congreso. “La Constitución es el gran pacto nacional de convivencia entre los españoles”, gran discurso del Jefe del Estado para un momento histórico. #DíaDeLaConstitución</t>
  </si>
  <si>
    <t>https://pbs.twimg.com/media/Dtu65GBWwAAgt6y.jpg</t>
  </si>
  <si>
    <t>Jcs Balears</t>
  </si>
  <si>
    <t>🗞️@Albert_Rivera #40AñosDeConstitución @CiudadanosCs ➡️Aspira a rehabilitar el edificio, no a demolerlo. ➡️Constitución hay que actualizarla, pero la 1ª gran reforma es defenderla y que se aplique. “Ni Junqueras ni Puigdemont van a modificarla a su gusto”</t>
  </si>
  <si>
    <t>Islas Baleares, España</t>
  </si>
  <si>
    <t>Perfil oficial de la Secretaría de Juventud de @CiudadanosCs en #IllesBalears 📲 ¡Síguenos! Imposible es sólo una opinión ¡Te escuchamos! 🍊🧡</t>
  </si>
  <si>
    <t>http://jovenes.ciudadanos-cs.org</t>
  </si>
  <si>
    <t>Más comentados ahora en Derecha/Centro Dcha.: ➀ @Albert_Rivera ↑ ➁ @sanchezcastejon ↑ ➂ @ANDRES_CANO42 ↑ ➃ @ahorapodemos ↑ ➄ @ldpsincomplejos ↓ ➅ @CristinaSegui_ ↑↑ ➆ @vox_es ↑ ➇ @PPopular ↑ ➈ @InesArrimadas ↑↑</t>
  </si>
  <si>
    <t>THE NEW ISA G</t>
  </si>
  <si>
    <t>Uy uy uy @Albert_Rivera en menudo jardín te estás metiendo. No te has dado cuenta aún q a los españoles no nos gusta q nos ninguneen? No te preocupes q en mayo te lo explicamos chatin RT @okdiario: #ÚLTIMAHORA | C's pacta con PSOE y Podemos librar a Sánchez de explicar su tesis ‘fake’ en la Asamblea de Madrid</t>
  </si>
  <si>
    <t>Qué Albert Rivera acepta negociar con VOX? 😂😂😂😂😂😂😂 Pero si lo estaba deseando!!! Albert Rivera y Santiago Abascal defienden exactamente las mismas ideas en la mayoría de los temas y defienden por encima de todo la España Una, Grande y Libre de Franco.</t>
  </si>
  <si>
    <t>https://pbs.twimg.com/media/Dtu4qjEXcAASL5l.jpg</t>
  </si>
  <si>
    <t>Ambroz, Madrid</t>
  </si>
  <si>
    <t>Ni indepes ni giliprogres ni filoetarras. Bloqueo sin más. Feminazis no son bienvenidas. Española orgullosa! He vuelto!😉</t>
  </si>
  <si>
    <t>Agr Nineta</t>
  </si>
  <si>
    <t>Me parece de muy nal gusto... ---- En @eccultura: Tráeme la cabeza de Albert Rivera: la gran broma del Museo de Cera... no es lo que piensas</t>
  </si>
  <si>
    <t>Más influyentes ahora en Derecha/Centro Dcha.: ➀ @Albert_Rivera ↑ ➁ @ANDRES_CANO42 ↑ ➂ @CristinaSegui_ ↑↑ ➃ @ldpsincomplejos ↓ ➄ @victoriah991 ↑ ➅ @juanchoex ↑ ➆ @josepramonbosch ↑ ➇ @Santi_ABASCAL ↓ ➈ @javiernegre10 ↑</t>
  </si>
  <si>
    <t>Me preocupa el estado de corrupción. https://angomrue.wordpress.com/ https://www.youtube.com/channel/UCOKdIN4jTaTefA-0bw2p49Q</t>
  </si>
  <si>
    <t>https://twiter.com/agrnineta</t>
  </si>
  <si>
    <t>Adiós @Albert_Rivera @CiudadanosCs El pueblo ha manifestado su voluntad en Andalucia, y vosotros les habeis desoído. Siempre nos queda VOX RT @qqqqetru: ÚLTIMA HORA...Ciudadanos se alía con IGLESIAS.. después de sus actos vandálicos...a RIVERA también se le ha caído la careta!</t>
  </si>
  <si>
    <t>https://twitter.com/qqqqetru/status/1070291538939469825
https://okdiario.com/espana/2018/12/05/iglesias-plantea-ciudadanos-que-ponga-encima-mesa-acuerdo-andalucia-3430367</t>
  </si>
  <si>
    <t>Bueno días, @Albert_Rivera. ¿Me recibes? Feliz #DiaDeLaConstitucion RT @manuelvalls: Manuel Valls apuesta por un "gran pacto de país" contra los populismos y rechaza tratos con Vox</t>
  </si>
  <si>
    <t>https://twitter.com/manuelvalls/status/1070334072415760390
https://www.europapress.es/catalunya/noticia-valls-apuesta-gran-pacto-pais-contra-populismos-rechaza-tratos-vox-20181205145815.html</t>
  </si>
  <si>
    <t>HINOJOS</t>
  </si>
  <si>
    <t>Sergio Márquez Márquez</t>
  </si>
  <si>
    <t>Haber si despiertas ya @Albert_Rivera que al final te haras del PSOE. RT @libertaddigital: Rivera desautoriza a Valls y no descarta un acuerdo a tres con VOX</t>
  </si>
  <si>
    <t>https://twitter.com/libertaddigital/status/1070315876803522561
http://dlvr.it/QstdyR</t>
  </si>
  <si>
    <t>En España</t>
  </si>
  <si>
    <t>He vivido intensamente 78 años dedicados a mi familia y a mi país y sigo con la intención de disfrutar de lo mismo.</t>
  </si>
  <si>
    <t>militante de Vox. youtube Sergio Márquez (Rincón Español)http://youtube.com/channel/UCm0yl…. CON ESPAÑA Y POR ESPAÑA📢</t>
  </si>
  <si>
    <t>pakcabsa</t>
  </si>
  <si>
    <t>Si no realizan pacto PP,ciudadanos, Vox......mi voto para las generales lo han perdido @Albert_Rivera ....piensen lo que se están jugando, marcar un cambio o ser una puta como @sanchezcastejon y poner el culo....usted mismo</t>
  </si>
  <si>
    <t>Cs Andalucía</t>
  </si>
  <si>
    <t>¿Aún no has leído el artículo de @Albert_Rivera sobre la Constitución? 🗣 "Es una de las mejores del mundo" 👉 Su reforma debe hacerse para satisfacer al pueblo español, no a los que quieren romper España. 🗞 Léelo en</t>
  </si>
  <si>
    <t>https://www.20minutos.es/noticia/3508559/0/albert-rivera-defender-nuestra-constitucion/#xtor=AD-15&amp;xts=467263</t>
  </si>
  <si>
    <t>https://pbs.twimg.com/media/Dtt5AVlXcAEz4Nm.jpg</t>
  </si>
  <si>
    <t>Perfil oficial de Ciudadanos Andalucía. Contáctanos en https://www.facebook.com/CiudadanosAndalucia/</t>
  </si>
  <si>
    <t>http://parlamento-andalucia.ciudadanos-cs.org/</t>
  </si>
  <si>
    <t>Afectados Cooperativas Prensa</t>
  </si>
  <si>
    <t>#DíaDeLaConstitución @pablocasado_ @Albert_Rivera Artículo 31: Todos contribuirán al sostenimiento de los gastos públicos de acuerdo con su capacidad económica mediante un sistema tributario #justo inspirado en los principios de igualdad y #progresividad.. @sdelcampocs @PPopular</t>
  </si>
  <si>
    <t>Sandra 🏳️‍🌈</t>
  </si>
  <si>
    <t>Por cierto no os he contao que ayer volví a estar en las urgencias del hospital La Paz y no vi inmigrantes, solo españoles, como Albert Rivera.</t>
  </si>
  <si>
    <t>Relación con los medios de la Asociación de Afectados por las Cooperativas (ACF) 💻🎥📞🎙️📡</t>
  </si>
  <si>
    <t>https://afectadosporlascooperativas.wordpress.com/</t>
  </si>
  <si>
    <t>Bisexual porque me gustan las mujeres y las aceitunas aliñás.</t>
  </si>
  <si>
    <t>Esteban Gámez</t>
  </si>
  <si>
    <t>Albert Rivera dice que en la izquierda y la derecha no hay "enemigos", sino "compatriotas"</t>
  </si>
  <si>
    <t>MiMa a Córdoba</t>
  </si>
  <si>
    <t>https://pbs.twimg.com/media/Dtuzf4EXQAApyn3.jpg</t>
  </si>
  <si>
    <t>.@Albert_Rivera ha dejado claro a los @CiudadanosCs que : 1️⃣ Habrá Gobierno de cambio, sacaremos a Susana de la Junta. 2️⃣ El único que puede liderar un Gobierno del cambio es Cs. 3️⃣ Pedimos a PP y PSOE que permitan ese Gobierno del cambio, por responsabilidad.</t>
  </si>
  <si>
    <t>Gijón</t>
  </si>
  <si>
    <t>https://pbs.twimg.com/media/Dtt3lESWsAAZjiO.jpg</t>
  </si>
  <si>
    <t>Profesional del medio, apasionado de las nuevas tecnologías y de la tierra Asturiana</t>
  </si>
  <si>
    <t>Juan Antonio Tirado</t>
  </si>
  <si>
    <t>#MiMaaCordoba acerca las cosas de Cordoba y su gente a mas de 51.000 seguidores cordobeses de nacimiento o adopción y a quienes guste su #HistoriaArteyCultura</t>
  </si>
  <si>
    <t>http://www.facebook.com/mimaacordoba</t>
  </si>
  <si>
    <t>http://dlvr.it/QsypZf</t>
  </si>
  <si>
    <t>https://pbs.twimg.com/media/DtuzYA6UUAEzeCy.jpg</t>
  </si>
  <si>
    <t>Periodista. Onda Cero. Editor de iBooks, director de @Stonewall_iBook; Radio Inter, Onda Madrid, Radio Voz, City Fm; Prensa4, El Telegrafo y Fotos; PopularTV...</t>
  </si>
  <si>
    <t>https://itunes.apple.com/es/book/gettysburg-1863/id665369445?mt=11</t>
  </si>
  <si>
    <t>xavi</t>
  </si>
  <si>
    <t>! Señores constitucionalistas @pablocasado_ i @Albert_Rivera que defienden SU CONSTITUCION..! ¿como es posible que quieran negociar con un partido, VOX, que defienden POSTULADOS claramente ANTICONSTITUCIONSLISTAS de SU CONSTITUCION?</t>
  </si>
  <si>
    <t>Sheldon</t>
  </si>
  <si>
    <t>Albert Rivera prefiere Gobernar en Andalucia con la abstención del PSOE que con el apoyo explícito de VOX. Grave error estratégico. Da síntomas del tradicional complejo del centro-derecha de este país. Muchos de sus votantes no lo entenderán. Allá él.</t>
  </si>
  <si>
    <t>Esparroquí 💜🎗💜</t>
  </si>
  <si>
    <t>¡El Albert Rivera de Francia ya no convence a nadie ni lo soporta nadie! Es lo que pasa cuando llegas de la mano de los ricos y bancos.</t>
  </si>
  <si>
    <t>https://pbs.twimg.com/media/Dtuy_Q0WkAA9kHl.jpg</t>
  </si>
  <si>
    <t>El Pasto es Verde †</t>
  </si>
  <si>
    <t>Por qué antepone sus intereses personales a los de España, @Albert_Rivera ?? Usted será responsable si se pierde la oportunidad de acabar con casi 40 años de caciquismo socialista en #Andalucía RT @jaimedeolano: ¿Te parece justo que la ambición personal de Rivera🍊pueda tirar por la borda la voluntad de cambio de millones de andaluces?</t>
  </si>
  <si>
    <t>Resististán</t>
  </si>
  <si>
    <t>Pienso con mi Teclado, sin Filtros, con Criterios! Quien siembra miseria, no es el que siempre recoge su cólera! Creador de http://Casos-Aislados.com</t>
  </si>
  <si>
    <t>http://www.digo-yo.es/author/esparroqui/</t>
  </si>
  <si>
    <t>https://twitter.com/jaimedeolano/status/1070201786047303682</t>
  </si>
  <si>
    <t>https://pbs.twimg.com/media/Dtoe2Q2WwAEs8aN.jpg</t>
  </si>
  <si>
    <t>Elena~kuroneko</t>
  </si>
  <si>
    <t>Me parece ridículo cómo sonó en los medios a donde se mudaba Pablo Iglesias.... pero no decían datos reales sobre los domicilios de Pedro Sánchez o Albert rivera o Rajoy</t>
  </si>
  <si>
    <t>Católico. Español. Madridista. Ser de la izquierda, como ser de la derecha, es una de las infinitas maneras que el hombre puede elegir para ser un imbécil.</t>
  </si>
  <si>
    <t>return res = null;</t>
  </si>
  <si>
    <t>YoyoStavros Egea</t>
  </si>
  <si>
    <t>Vaya, vaya, @CiudadanosCs @Albert_Rivera @InesArrimadas pactando con el soberanismo catalán. Y resulta curioso que el pacto estaba cerrado hace días pero no se dio a conocer, por exigencias de Ciudadanos, hasta después de las elecciones andaluzas.</t>
  </si>
  <si>
    <t>https://www.google.es/amp/s/www.elconfidencial.com/amp/television/2018-12-05/composicion-ccma-consejeros-jxcat-erc-ciudadanos_1688914/</t>
  </si>
  <si>
    <t>Todos los bancales tienen orilla.</t>
  </si>
  <si>
    <t>Ciudadanos no tiene rumbo. Hoy derecha mañana izquierda pasado centroderecha y hoy apoyo al socialismo. @Albert_Rivera que haces? A que juegas?</t>
  </si>
  <si>
    <t>D. Walsh 🍭</t>
  </si>
  <si>
    <t>Bonito guiño de Fortnite a Albert Rivera y los de Ciudadanos!</t>
  </si>
  <si>
    <t>https://pbs.twimg.com/media/Dtux_FWXgAAlfAq.jpg</t>
  </si>
  <si>
    <t>San Cristóbal de la Laguna</t>
  </si>
  <si>
    <t>De izquierdas y feminista - Del Barça y de la buena música!</t>
  </si>
  <si>
    <t>Los 20 tuits más RTs de @rosadiezglez @albert_rivera @tonicanto1 @santi_abascal @jorditurull @krls @gabrielrufian @albanodante76 @quimforn @jordialapreso @beatrizbecerrab @forcadellcarme @ierrejon @maitepagaza @irene_montero_ el miércoles 5 de diciembre</t>
  </si>
  <si>
    <t>https://twitter.com/trendinaliaES/timelines/1070560578584797184</t>
  </si>
  <si>
    <t>Más comentados ahora en Derecha/Centro Dcha.: ➀ @Albert_Rivera ↑↑ ➁ @ANDRES_CANO42 ↓ ➂ @sanchezcastejon ↑ ➃ @ahorapodemos ↑ ➄ @vox_es ↑ ➅ @PPopular ↓ ➆ @victoriah991 ↓ ➇ @juanchoex ↓ ➈ @josepramonbosch ↓</t>
  </si>
  <si>
    <t>Pablo Casado y Albert Rivera #40AñosDeConstitución #JaqueAlRégimenDel78 #ConstitucionEspanola</t>
  </si>
  <si>
    <t>https://pbs.twimg.com/media/Dtuxqh-XcAAcoks.jpg</t>
  </si>
  <si>
    <t>Paco Vergara ツ</t>
  </si>
  <si>
    <t>Lo único que se necesita para que el mal triunfe es que los hombres buenos no hagan nada (Edmund Burke) #Ciudadano @CsGranada</t>
  </si>
  <si>
    <t>http://granada.ciudadanos-cs.org/</t>
  </si>
  <si>
    <t>Más influyentes ahora en Derecha/Centro Dcha.: ➀ @Albert_Rivera ↑↑ ➁ @ANDRES_CANO42 ↓ ➂ @victoriah991 ↓ ➃ @juanchoex ↓ ➄ @josepramonbosch ↑ ➅ @CristinaSegui_ ↓ ➆ @javiernegre10 ↓ ➇ @currusquita ↓ ➈ @libertaddigital ↓</t>
  </si>
  <si>
    <t>ajoyagua ♻️🕊♻️</t>
  </si>
  <si>
    <t>Con el debido respeto, discrepo @ErnestoEkaizer. @Albert_Rivera SÍ tiene principios, y son principios marxistas. De Groucho Marx. RT @ErnestoEkaizer: #Rac1 Ekaizer&amp;Clapés: “No confiaría en los principios de Albert Rivera porque no creo que los tenga...” @rac1</t>
  </si>
  <si>
    <t>Dame un libro y me olvidaré del mundo. Dame tu idioma, toma el mío, y derribaremos murallas, construiremos puentes. Ohito: aqí ç'eccribe tamié n'andalûh.</t>
  </si>
  <si>
    <t>Albert Rivera en VI Escuela de Verano DENAES 2012 📡 NOLUNTARISMO MONARQUICO,</t>
  </si>
  <si>
    <t>https://youtu.be/V9YYQDqha-Q?suf85=4374255039</t>
  </si>
  <si>
    <t>Yago Linde</t>
  </si>
  <si>
    <t>Se hace un llamamiento a las personas de bien. A las personas democráticas y que buscan la libertad, hacer una alianza anti comunista y terrorista. ¿Te apuntas? Únete y comparte este tuit. @vox_es @CiudadanosCs @PPopular @pablocasado_ @Albert_Rivera @Santi_ABASCAL</t>
  </si>
  <si>
    <t>✴️ Hombre libre y de buenas costumbres. ✴️ Hombre razonable que lucha por la igualdad, la libertad y la fraternidad. ✴️ Masculinista ♂️ ✴️ Historiador</t>
  </si>
  <si>
    <t>Ulises Gamez Guilarte</t>
  </si>
  <si>
    <t>En España los golpistas y malversadores catalanes siguen aferrados a desconocer la constitución aprobada en referendo por más de 17 millones de españoles. Y luego se quejan por estar presos. Qué desean la ley de la selva? @Albert_Rivera @InesArrimadas @Santi_ABASCAL @FJL_EsRadio</t>
  </si>
  <si>
    <t xml:space="preserve">Calobre Panamá. </t>
  </si>
  <si>
    <t>Abogado y compositor Cubano. Vivo en Calobre Panamá. esta foto la de mi perfil es en Rusia.</t>
  </si>
  <si>
    <t>Jcs Catalunya</t>
  </si>
  <si>
    <t>Celebrando ayer los 40 años de la Constitución Española con @manuelvalls, @InesArrimadas y @Albert_Rivera</t>
  </si>
  <si>
    <t>https://pbs.twimg.com/media/DttuCO3WkAURS9-.jpg</t>
  </si>
  <si>
    <t>Perfil oficial de Jóvenes de @Ciudadanos en Cataluña</t>
  </si>
  <si>
    <t>Enmanuel Ramirez 🇪🇸</t>
  </si>
  <si>
    <t>Una más de @Albert_Rivera y @CiudadanosCs DAN VERGÜENZA. Ahora yo me pregunto. ¿Seguirán sus votantes creyendo que de verdad quiere cambiar al país? Eres un sinvergüenza al igual que @ignacioaguado Pero tranquilos que vienen las municipales y vais a quedar por el suelo. RT @okdiario: #ÚLTIMAHORA | C's pacta con PSOE y Podemos librar a Sánchez de explicar su tesis ‘fake’ en la Asamblea de Madrid</t>
  </si>
  <si>
    <t xml:space="preserve">Madrid ~ España </t>
  </si>
  <si>
    <t>Emprendedor - Máster #IEBusinessSchool - Premio #JovenEmprendedor 2010 y #100LatinosMadrid 2013 Venezolano🇻🇪 y Español🇪🇸</t>
  </si>
  <si>
    <t>http://www.madridconecta.com</t>
  </si>
  <si>
    <t>Bravo por la gente con principios, si todos fuéramos así nadie podría con nosotros👏👏 #sosprisiones #TuAbandonoMePuedeMatar #tuabandonoprisiones @interiorgob @Albert_Rivera @CasaReal @okdiario @jordievole RT @tu_abandono: Grandioso los compañeros, que no se han querido comprar por la ruin administración , y dona las monedas de judas q dicha administración le ha dado para la caja de resistencia y así ayudar a este gremio para hacernos oír mil gracias #TuAbandonoPrisiones #TuAbandonoMePuedeMatar</t>
  </si>
  <si>
    <t>https://twitter.com/tu_abandono/status/1068585660100030465</t>
  </si>
  <si>
    <t>https://pbs.twimg.com/media/DtRg9pyW0AEJPz8.jpg</t>
  </si>
  <si>
    <t>EXTREMO DERECHO EXTREMO</t>
  </si>
  <si>
    <t>De qué planeta, cuerpo celeste o asteroide habéis bajado a @manuelvalls ?Cada vez que abre la doca demuestra estar fuera de órbita. @InesArrimadas @jordi_canyas @Albert_Rivera</t>
  </si>
  <si>
    <t>ESPAÑOL 🇪🇸 MADRIDISTA 🏆 Mourinho-zidanista; los principios de Mou, los métodos de Zizou.</t>
  </si>
  <si>
    <t>http://www.tabarnia.es</t>
  </si>
  <si>
    <t>COPE</t>
  </si>
  <si>
    <t>Albert Rivera pide a Pedro Sánchez que vuelva al constitucionalismo #DíaDeLaConstitución</t>
  </si>
  <si>
    <t>http://ww.cope.es/cjv1e1</t>
  </si>
  <si>
    <t>Está pasando, estás en COPE 📻 Toda la información 💻, el mejor equipo de la radio deportiva🏅, el mejor entretenimiento y podcast 🎙️</t>
  </si>
  <si>
    <t>http://www.cope.es</t>
  </si>
  <si>
    <t>La Razón</t>
  </si>
  <si>
    <t>#EleccionesAndalucía 👉 @Albert_Rivera ve irresponsable «descartar» escenarios de pacto, incluido con @vox_es.</t>
  </si>
  <si>
    <t>http://lrzn.es/gt8bv3</t>
  </si>
  <si>
    <t>https://pbs.twimg.com/media/DttkZ8vXQAE2Zma.jpg</t>
  </si>
  <si>
    <t>Cuenta oficial del diario LA RAZÓN. RT y HT no significan necesariamente acuerdo. http://facebook.com/larazon.es http://instagram.com/larazon.es/</t>
  </si>
  <si>
    <t>http://www.larazon.es</t>
  </si>
  <si>
    <t>Luis Miguel R. G.</t>
  </si>
  <si>
    <t>40 Aniversario Constitución: Albert Rivera: “Ni Junqueras ni Puigdemont van a modificar la Constitución a su gusto” | España | EL PAÍS</t>
  </si>
  <si>
    <t>Más comentados ahora en Derecha/Centro Dcha.: ➀ @ANDRES_CANO42 ↓ ➁ @sanchezcastejon ↑ ➂ @ahorapodemos ↑ ➃ @Albert_Rivera ↑ ➄ @josepramonbosch ↓ ➅ @vox_es ↓ ➆ @ana_urcelay ↓ ➇ @ldpsincomplejos ↑ ➈ @CristinaSegui_ ↑↑</t>
  </si>
  <si>
    <t>No soy lo que fui, ni seré lo que soy ahora. Nada importante; el lógico deterioro del paso del tiempo...</t>
  </si>
  <si>
    <t>MARIANO RAJOY FAKE</t>
  </si>
  <si>
    <t>Pedro Sánchez no puede gobernar en España con 85 diputados, pero Albert Rivera sí puede gobernar en Andalucía con 21 diputados. Cosas de las Matemáticas. #40AñosDeConstitución</t>
  </si>
  <si>
    <t>Más influyentes ahora en Derecha/Centro Dcha.: ➀ @ANDRES_CANO42 ↓ ➁ @Albert_Rivera ↑ ➂ @josepramonbosch ↓ ➃ @ldpsincomplejos ↑ ➄ @daniel_portero ↑↑ ➅ @CristinaSegui_ ↑↑ ➆ @javiernegre10 ↑ ➇ @MiguelMarfil2 ↑</t>
  </si>
  <si>
    <t>Registrador de la propiedad. Muy español y mucho español.</t>
  </si>
  <si>
    <t>Mundo Burbu</t>
  </si>
  <si>
    <t>Albert Rivera alias Mortadelo</t>
  </si>
  <si>
    <t>https://pbs.twimg.com/media/Dtuqtl8XQAEVtAi.jpg</t>
  </si>
  <si>
    <t>Para la libertad, sangro, lucho, pervivo,...</t>
  </si>
  <si>
    <t>BikerCulé🎗️</t>
  </si>
  <si>
    <t>Albert Rivera es un bocas de mierda. Fin</t>
  </si>
  <si>
    <t>Camp nou</t>
  </si>
  <si>
    <t>Habitante de un pais llamado Catalunya, soy un poco bastante culé. MTB Biker, Nivel_ Dominguero. En un momento dado.</t>
  </si>
  <si>
    <t>Víctor Sánchez 🇪🇸</t>
  </si>
  <si>
    <t>C's pacta con PSOE y Podemos librar a Sánchez de explicar su tesis ‘fake’ en la Asamblea de Madrid Si esto es verdad @ignacioaguado @CsarZafra @Albert_Rivera...Apaga y vámonos...  vía @okdiario</t>
  </si>
  <si>
    <t>https://okdiario.com/espana/madrid/2018/12/05/cs-pacta-psoe-podemos-librar-sanchez-explicar-tesis-fake-asamblea-madrid-3432942#.XAizxxnbWlg.twitter</t>
  </si>
  <si>
    <t>Ingeniero Industrial🌍-Cuando el fanatismo ha gangrenado el cerebro la enfermedad es casi incurable-Voltaire #LaRevolucióndelosBalcones 🇪🇸 RT≠estar de acuerdo</t>
  </si>
  <si>
    <t>Tomas Fernandez 🇪🇸</t>
  </si>
  <si>
    <t>Que hipócrita y poca vergüenza @Albert_Rivera RT @CristinaSegui_: C's pacta con PSOE y Podemos librar a Sánchez de explicar su tesis ‘fake’ en la Asamblea de Madrid</t>
  </si>
  <si>
    <t>https://twitter.com/cristinasegui_/status/1070453017265213440
https://okdiario.com/espana/madrid/2018/12/05/cs-pacta-psoe-podemos-librar-sanchez-explicar-tesis-fake-asamblea-madrid-3432942/amp</t>
  </si>
  <si>
    <t>Español @utonomo y padre , Sobrevivo como trabajador de fortuna. Por un país justo y próspero Amante de la montaña y de el Deporte .Viva España🇪🇸🎚</t>
  </si>
  <si>
    <t>Adrian Elliot 🇪🇺</t>
  </si>
  <si>
    <t>¿Es este el motivo por el que Albert Rivera nunca llegará a Presidente? Es todo esto sumado a Nick Clegg y menos el carisma de los otros dos. Macron’s politics look to Blair and Clinton. The backlash was inevitable</t>
  </si>
  <si>
    <t>https://www.theguardian.com/commentisfree/2018/dec/06/macron-clinton-blair-backlash?CMP=Share_AndroidApp_Tweet</t>
  </si>
  <si>
    <t>Tengo mi opinión pero no la debo a nadie. Intenta convencerme, pero con hechos, no ensoñaciones. Consultor de RRPP. Leo mucho, pero sin tragar el humo.</t>
  </si>
  <si>
    <t>Con esto se ponen todos de acuerdo, hasta los separatistas, golpistas y demás alimañas algo que decir?@sanchezcastejon @pnique @pablo_iglesias_ @gabrielrufian @pablocasado_ @laSextaTV @atresmediacom @Albert_Rivera para que comentar el vergonzoso acuerdo a los borregos. RT @ingenius6: El Congreso aprueba su presupuesto y sube un 2,5% el sueldo a los diputados</t>
  </si>
  <si>
    <t>http://cabinaeneltiempo.blogspot.com</t>
  </si>
  <si>
    <t>https://twitter.com/ingenius6/status/1070094903340883968
https://elpais.com/politica/2018/12/03/actualidad/1543834810_981190.html?id_externo_rsoc=FB_CC</t>
  </si>
  <si>
    <t>Más comentados ahora en Derecha/Centro Dcha.: ➀ @ANDRES_CANO42 ↑ ➁ @sanchezcastejon ↑ ➂ @ahorapodemos ↓ ➃ @Albert_Rivera ↑ ➄ @juanchoex ↓ ➅ @Santi_ABASCAL ↑ ➆ @GirautaOficial ↑↑ ➇ @vox_es ➈ @victoriah991 ↑↑</t>
  </si>
  <si>
    <t>Más influyentes ahora en Derecha/Centro Dcha.: ➀ @ANDRES_CANO42 ↑ ➁ @juanchoex ↓ ➂ @Albert_Rivera ↑ ➃ @Santi_ABASCAL ↑ ➄ @victoriah991 ↑↑ ➅ @ldpsincomplejos ➆ @josepramonbosch ↑ ➇ @javiernegre10 ↑ ➈ @ana_urcelay ↑↑</t>
  </si>
  <si>
    <t>Abraham Pérez</t>
  </si>
  <si>
    <t>FELIZ DÍA DE LA CONSTITUCIÓN!!ESPAÑOLES 🇪🇸🇪🇸🇪🇸!! @gabrielrufian @sanchezcastejon @Albert_Rivera @erc_catcentral @PSOE @pablocasado_ @Pablo_Iglesias_ @ahorapodemos @vox_es @Santi_ABASCAL @QuimTorraiPla @Bcnisnotcat_ @DaniMateoAgain @AdaColau @PPopular</t>
  </si>
  <si>
    <t>pic.twitter.com/t2G2oxtCcR</t>
  </si>
  <si>
    <t>Jorge Álvaro</t>
  </si>
  <si>
    <t>En @elconfidencial: Tráeme la cabeza de Albert Rivera: la gran broma del Museo de Cera no es lo que crees</t>
  </si>
  <si>
    <t>Si luchas puedes perder si no luchas estás perdido</t>
  </si>
  <si>
    <t>https://www.elconfidencial.com/cultura/2018-12-06/cronica-urgente-espana-museo-cera-cabeza-rivera-broma_1678174/?utm_campaign=BotoneraWebapp&amp;utm_source=twitter&amp;utm_medium=social</t>
  </si>
  <si>
    <t>Photographer/Colorist/Film Editor</t>
  </si>
  <si>
    <t>http://www.jorgealvaro.com</t>
  </si>
  <si>
    <t>Más comentados ahora en Derecha/Centro Dcha.: ➀ @ANDRES_CANO42 ↓ ➁ @josepramonbosch ↓ ➂ @sanchezcastejon ↓ ➃ @Albert_Rivera ↓ ➄ @ahorapodemos ↑ ➅ @juanchoex ↑ ➆ @JosPastr ↑ ➇ @vox_es ↑ ➈ @Santi_ABASCAL ↑</t>
  </si>
  <si>
    <t>Emily Habsburg</t>
  </si>
  <si>
    <t>Albert Rivera: “Ni Junqueras ni Puigdemont van a modificar la Constitución a su gusto” -</t>
  </si>
  <si>
    <t>Vienna-Marbella (AUT-ESP)</t>
  </si>
  <si>
    <t>♔🇦🇹INDIVISIBILITER AC INSEPARABILITER🇪🇸♔ #History #Liberal #WesternCivilization #AEIOU #WakeUpEurope #StopIslamicFascism ن🇪🇺🇮🇱☤</t>
  </si>
  <si>
    <t>Más influyentes ahora en Derecha/Centro Dcha.: ➀ @ANDRES_CANO42 ↓ ➁ @josepramonbosch ↓ ➂ @Albert_Rivera ↓ ➃ @juanchoex ↑ ➄ @JosPastr ↑ ➅ @Santi_ABASCAL ↑ ➆ @CristinaSegui_ ↑↑ ➇ @ldpsincomplejos ➈ @libertaddigital ↓</t>
  </si>
  <si>
    <t>Antonio Ordozgoiti</t>
  </si>
  <si>
    <t>Me ha gustado un vídeo de @YouTube ( - ‼️MAGISTRAL‼️ Albert RIVERA 💥DES-TRO-ZA💥 a Pedro SÁNCHEZ</t>
  </si>
  <si>
    <t>http://youtu.be/-k0Qyg3yM6c?a</t>
  </si>
  <si>
    <t>Miriita</t>
  </si>
  <si>
    <t>Bueno, si pasa esto ve despidiéndote de tu partido. @CiudadanosCs @JuanMarin_Cs @Albert_Rivera #Ciudadanos #junta #andalucia RT @thecentenator: La estrategia real de Rivera es ofrecer al PSOE mantener su estructura intacta en la Junta de Andalucía a cambio de que nombren presidente a Marín, lo que constituye una traición a España y a sus votantes</t>
  </si>
  <si>
    <t>Más comentados ahora en Derecha/Centro Dcha.: ➀ @ANDRES_CANO42 ↓ ➁ @ahorapodemos ↓ ➂ @Albert_Rivera ↓↓ ➃ @sanchezcastejon ↓ ➄ @josepramonbosch ↑ ➅ @juanchoex ↓↓ ➆ @vox_es ↓ ➇ @alonso_dm ↑↑ ➈ @PPopular ↑ ➉ @esRadio ↑</t>
  </si>
  <si>
    <t>Más influyentes ahora en Derecha/Centro Dcha.: ➀ @ANDRES_CANO42 ↓ ➁ @josepramonbosch ↑ ➂ @Albert_Rivera ↓↓ ➃ @juanchoex ↓↓ ➄ @esRadio ↑ ➅ @alonso_dm ↑↑ ➆ @libertaddigital ↑ ➇ @JuanMarin_Cs ↑ ➈ @ldpsincomplejos ↓</t>
  </si>
  <si>
    <t>Фридрих (Federico)🎗</t>
  </si>
  <si>
    <t>Para Albert Rivera, ya ni el PSOE es constitucionalista.</t>
  </si>
  <si>
    <t>https://pbs.twimg.com/media/DtuixeJWkAAPpNy.jpg</t>
  </si>
  <si>
    <t>Soy de Telemadrid, payasa.</t>
  </si>
  <si>
    <t>PENSADOR ADELANTADO</t>
  </si>
  <si>
    <t>Parece que @Albert_Rivera y @CiudadanosCs no entienden, por cabezonería, que si hay nuevas elecciones, serán los únicos culpables de perder la posibilidad de cambio. O volverán a gobernar los de siempre o caerán engullidos por @PPopular y @vox_es</t>
  </si>
  <si>
    <t>Nada es lo que parece, los políticos pretenden que creamos todo lo que nos cuentan bajo el disfraz de la democracia.</t>
  </si>
  <si>
    <t>https://www.mediafire.com/?6kmfocx1yi5p7w1</t>
  </si>
  <si>
    <t>Mathias</t>
  </si>
  <si>
    <t>A los independentistas que penséis que Sánchez es "un lince?" por no ver que no queréis diálogo: ¿Qué se siente al tener la misma opinión que @Albert_Rivera?</t>
  </si>
  <si>
    <t>Barcelona, Cataluña</t>
  </si>
  <si>
    <t>Estoy aquí porque es gratis.</t>
  </si>
  <si>
    <t>Más comentados ahora en Derecha/Centro Dcha.: ➀ @ANDRES_CANO42 ↑ ➁ @Albert_Rivera ↓ ➂ @juanchoex ↓ ➃ @susanadiaz ↓ ➄ @ahorapodemos ↓↓ ➅ @sanchezcastejon ↓ ➆ @vox_es ↓↓ ➇ @javiernegre10 ↓ ➈ @Santi_ABASCAL ↓↓</t>
  </si>
  <si>
    <t>Franci Palomino</t>
  </si>
  <si>
    <t>Más influyentes ahora en Derecha/Centro Dcha.: ➀ @ANDRES_CANO42 ↑ ➁ @Albert_Rivera ↓ ➂ @juanchoex ↓ ➃ @javiernegre10 ↓ ➄ @josepramonbosch ↓ ➅ @Santi_ABASCAL ↓ ➆ @libertaddigital ↓ ➇ @MiguelMarfil2 ↓ ➈ @ldpsincomplejos ↑</t>
  </si>
  <si>
    <t>Discursos sobre la primera década de Tito Livio. N. Maquiavelo. Libro tercero, capítulo III. @Albert_Rivera</t>
  </si>
  <si>
    <t>Plumaroja2.0</t>
  </si>
  <si>
    <t>Dice Albert Rivera que pactar el reparto de cargos en los despachos es malo para la democracia, excepto cuando lo hace @CiudadanosCs #DiaDeLaConstitucion</t>
  </si>
  <si>
    <t>https://pbs.twimg.com/media/DtugBmaW0AAEDCT.jpg</t>
  </si>
  <si>
    <t>La Mancha</t>
  </si>
  <si>
    <t>Ecomarxista y amante de la naturaleza. Colaboro en CP, DCLM. Escribo y dibujo sobre mitos manchegos. Diseño e ilustro portadas, libros...,</t>
  </si>
  <si>
    <t>http://plumaroja-plumaroja.blogspot.com</t>
  </si>
  <si>
    <t>🌱 Juande G. 🏳️‍🌈</t>
  </si>
  <si>
    <t>Esta Navidad tu cuñado pasa de hablar bien de Albert Rivera a alabar a Santiago Abascal. Prepárate.</t>
  </si>
  <si>
    <t>e-pesimo</t>
  </si>
  <si>
    <t>En su ambición sin freno @Albert_Rivera valora aislar al #PP con un pacto GLOBAL #Psoe&amp;ultra #PODEMOS y lo quiere justificar APARENTANDO aceptar a "ultra" #Vox  #ElCascabel5D #EleccionesAndalucia #Tabarnia #LaMañanaTVE #LaNoche24h #LosDesayunos #d24 🐷#Psc</t>
  </si>
  <si>
    <t>https://www.larazon.es/espana/rivera-ve-irresponsable-descartar-escenarios-de-pacto-incluido-con-vox-FP20851523</t>
  </si>
  <si>
    <t>Madrid (temporalmente) con el ❤️ en Almería (Andalucía)</t>
  </si>
  <si>
    <t>❤️🧡💛💚💙💜 Trabajador Social forjado entre @ualmeria y @unicomplutense. Intentando dejar un mundo mejor del que encontré desde @ajlantia y @redequojoven 🌈☮️🌍♻🐧</t>
  </si>
  <si>
    <t>Castro-Urdiales</t>
  </si>
  <si>
    <t>https://www.facebook.com/epe.epesimo</t>
  </si>
  <si>
    <t>Carmen Duss</t>
  </si>
  <si>
    <t>Pues a ver si C's, va a ser tan incompetente, como su socio Sánchez. Sería patético..., @Albert_Rivera, que no hicieras lo posible, para que por fin se de el cambio en Andalucía. RT @Ifg2424: C's amenaza con nuevas elecciones en Andalucía porque no quiere que el 'popular' Moreno sea presidente</t>
  </si>
  <si>
    <t>https://twitter.com/Ifg2424/status/1070487599565955073
https://okdiario.com/espana/andalucia/2018/12/05/cs-amenaza-nuevas-elecciones-andalucia-porque-no-quiere-que-popular-moreno-sea-presidente-3432237#.XAh43xBLHPc.twitter</t>
  </si>
  <si>
    <t>Piccolo</t>
  </si>
  <si>
    <t>El simple hecho de no ver a Albert Rivera rechazar a Vox desde el minuto 1 dice mucho de su “efusivo amor” por la democracia que tanto recalca en público. La estrategia de “me inclino hacia donde sople el viento” puede tirarte del tejado, Albert.</t>
  </si>
  <si>
    <t>Ojete</t>
  </si>
  <si>
    <t>El sentido común como arte verdadero. Saldremos adelante. Viajera por vocación.</t>
  </si>
  <si>
    <t>Yo.</t>
  </si>
  <si>
    <t>http://www.unlimitedpower.com</t>
  </si>
  <si>
    <t>En momentos así es cuando los partidos políticos confrontan sus ideas con sus hechos 👇👇👇👇👇👇👇👇👇👇👇👇 Coherencia versus Incoherencia @CiudadanosCs @Albert_Rivera estamos a la espera. RT @elpais_espana: "Lo sensato es un acuerdo entre los partidos constitucionalistas", ha dicho el ex primer ministro francés en una entrevista este miércoles en 'Hoy por hoy'</t>
  </si>
  <si>
    <t>https://twitter.com/elpais_espana/status/1070316976340377601
http://ow.ly/qHD830mRZto</t>
  </si>
  <si>
    <t>Gonzalo Bonet</t>
  </si>
  <si>
    <t>Tranquilos que si alguna vez Albert Rivera y Ciudadanos reforman la #ConstitucionEspanola junto a PP y PSOE, será para joderte la vida, no para garantizar que se cumplan artículos como el derecho a la vivienda o trabajo dignos. #40AñosDeConstitución #DiaDeLaConstitucion</t>
  </si>
  <si>
    <t>Valencia, Spain</t>
  </si>
  <si>
    <t>Architect, but psychology student. Snooker player. Love music, sport, running, travel, writing, series... Si no aportas argumentos y/o faltas al respeto, block</t>
  </si>
  <si>
    <t>Más comentados ahora en Derecha/Centro Dcha.: ➀ @ANDRES_CANO42 ↑ ➁ @Albert_Rivera ↑ ➂ @ahorapodemos ↑ ➃ @vox_es ↑ ➄ @juanchoex ↑ ➅ @InesArrimadas ↓ ➆ @PPopular ↑ ➇ @sanchezcastejon ↓↓ ➈ @Santi_ABASCAL ↓</t>
  </si>
  <si>
    <t>Más influyentes ahora en Derecha/Centro Dcha.: ➀ @ANDRES_CANO42 ↑ ➁ @Albert_Rivera ↑ ➂ @juanchoex ↑ ➃ @ldpsincomplejos ↓ ➄ @javiernegre10 ↓ ➅ @victoriah991 ↓ ➆ @libertaddigital ↓ ➇ @josepramonbosch ↓↓ ➈ @elmundoes ↓</t>
  </si>
  <si>
    <t>Juanma Berenguer 🇪🇸</t>
  </si>
  <si>
    <t>La ejecutiva a decidido que: Si no nos dan el sillón, aún siendo la 3° fuerza más votada, nos llevamos el balón 😳, y aquí no juega ni el tato. Lo de entender el mandato del pueblo p'a cuando @Albert_Rivera ? O ya estamos en modo "Risk" y no pensamos más en los votantes? #España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</si>
  <si>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MissTica✨</t>
  </si>
  <si>
    <t>Qué diferencia hay entre el discurso de Albert Rivera y el de Pablo Iglesias. Pablo, aprende y déjate de populismos. Las mujeres no necesitamos que nos utilices en tus discursos de esa forma ni para tus fines #40CONSTITUCIONRTVE #40AñosDeConstitución</t>
  </si>
  <si>
    <t>Madrid, España.</t>
  </si>
  <si>
    <t>Con respeto y educación, hablamos de lo que quieras. A qué me dedico, depende del dia.. Español enamorado de su país. 🇪🇸</t>
  </si>
  <si>
    <t>Defiendo la #libertad y la #democracia. #NoALaDictadura</t>
  </si>
  <si>
    <t>Feliz día de la @constitucion40, hipócritas de este País. Por aquí no hay #Constitucion #politicos #NOjusticia @TC_Esp @justiciagob @MinInterior @PoderJudicialEs @Congreso_Es @SextaNocheTV @ScoopL6 @M_gabanelli @eldiarioes @sanchezcastejon @pablocasado @Albert_Rivera @Striscia RT @tierra_los:</t>
  </si>
  <si>
    <t>https://twitter.com/tierra_los/status/1070473633926017024
https://www.pscp.tv/w/bthjYTF4a1FETVdaZ3lYS3p8MW1yeG1ZamRiWEx4ea0UR88GMej-Wmv-xw6qXUfzw0aUPcz8lqJCr7FHA1Vh</t>
  </si>
  <si>
    <t>Pepito_Grillo</t>
  </si>
  <si>
    <t>Si @Albert_Rivera llegará a ello sería hacerse el harakiri en Andalucia y por ende España. Parece que el mensaje que la mayoría ha dado no lo capta. C's amenaza con nuevas elecciones en Andalucía porque no quiere que el 'popular' Moreno sea presidente</t>
  </si>
  <si>
    <t>https://okdiario.com/espana/andalucia/2018/12/05/cs-amenaza-nuevas-elecciones-andalucia-porque-no-quiere-que-popular-moreno-sea-presidente-3432237#.XAhumRnoQBc.twitter</t>
  </si>
  <si>
    <t>Mundo Imaginario</t>
  </si>
  <si>
    <t>Fastidiando el sueño con mis cantares</t>
  </si>
  <si>
    <t>Alexis Marí Malonda</t>
  </si>
  <si>
    <t>Veremos cuanto dura Valls en los brazos de @Albert_Rivera Menel, no le digas lo que tiene que hacer, ni sugieras, ni propongas. Te fumigarán. Estás avisado. 😬</t>
  </si>
  <si>
    <t>Ángel R G</t>
  </si>
  <si>
    <t>Albert Rivera: "Esta constitución tiene futuro así que dejemos los bloques y defendamos la Constitución" #40AñosDeConstitución</t>
  </si>
  <si>
    <t>https://pbs.twimg.com/media/DtudwIOWkAApDSW.jpg</t>
  </si>
  <si>
    <t>Cumpleaños el 21 de Abril.</t>
  </si>
  <si>
    <t>Dénia, Comunidad Valenciana</t>
  </si>
  <si>
    <t>Diputado, de momento. Detesto injusticias y el pan integral. Solo me fío de los frenos de mi Ducati. Vivo en el paraíso de Dénia y los reyes son Gaëlle y Aleko.</t>
  </si>
  <si>
    <t>Francisco</t>
  </si>
  <si>
    <t>Albert Rivera sólo. Buen discurso. Ahora viene Pablo Iglesias con 7 más a criticar la constitución, hablando de República. Ok.</t>
  </si>
  <si>
    <t>Andrés López</t>
  </si>
  <si>
    <t>No me fio un pelo del gilipollas de Inda, pero espero que esto sea una de sus mentiras @hugothester si no @Albert_Rivera tendrá mucho que explicar sobre la actuación de su partido en Madrid. RT @tamiroff_: Sigan, sigan.</t>
  </si>
  <si>
    <t>Siempre tendrás un bigote a tu lado.</t>
  </si>
  <si>
    <t>https://twitter.com/tamiroff_/status/1070433993932316672
https://twitter.com/okdiario/status/1070428145763921926</t>
  </si>
  <si>
    <t>Zeltia | 1=10   [🇪🇸]</t>
  </si>
  <si>
    <t>SOÑÉ CON ALBERT RIVERA</t>
  </si>
  <si>
    <t>❀ bangtan ~ twice ~ pentagon ~ shinee ~ ACE ~ nct ~ skz ~ got7❀ Always be with you</t>
  </si>
  <si>
    <t>Thilo Elmering🇪🇺🇩🇪🇪🇸</t>
  </si>
  <si>
    <t>Los demócratas de los @CDR_Barcelona haciendo un escrache a @InesArrimadas @manuelvalls y @Albert_Rivera Gracias por la publicidad, nois!!!</t>
  </si>
  <si>
    <t>pic.twitter.com/9fjw29Nnr5</t>
  </si>
  <si>
    <t>24h</t>
  </si>
  <si>
    <t>#40AñosdeConstitución Albert Rivera, presidente de Ciudadanos: "La Constitución consiguió un milagro, convertirnos de enemigos en compatriotas. Superar la división entre rojos y azules y convertirnos en ciudadanos libres e iguales"  #40ConstituciónRTVE</t>
  </si>
  <si>
    <t>http://www.rtve.es/noticias/mas-24/</t>
  </si>
  <si>
    <t>Villanueva y Geltrú, España</t>
  </si>
  <si>
    <t>https://pbs.twimg.com/media/DtudGfUU8AAlyyV.jpg</t>
  </si>
  <si>
    <t>Alemán de nacimiento, español y catalán por acogida, ingeniero y empresario de profesión, demócrata y liberal por convicción.</t>
  </si>
  <si>
    <t>Sigue la información al minuto en el @24h_tve y en http://www.rtve.es/noticias ▪Facebook: https://www.facebook.com/24htve/ ▪Telegram: https://t.me/Canal24hTVE</t>
  </si>
  <si>
    <t>Monina</t>
  </si>
  <si>
    <t>Cuantos venezolanos mas deben morir por la obsesión de Poder del dictador Maduro @Almagro_OEA2015 @marcorubio @mbachelet @beatrizbecerrab @pablocasado @AndresPastrana @Albert_Rivera</t>
  </si>
  <si>
    <t>Carol Díaz-Espina (PhD) ن</t>
  </si>
  <si>
    <t>Albert Rivera 39 años Pablo Iglesias 40 años Adriana Lastra 39 años Pablo Casado 37 años Los portavoces políticos que inauguran la jornada, han nacido todos al amparo de la Constitución y pueden hacerlo gracias a ella. #40AñosdeConstitucion #DíaDeLaConstitución</t>
  </si>
  <si>
    <t>Julio Oitavén</t>
  </si>
  <si>
    <t>Seguro que @Albert_Rivera e @pablocasado_ están a punto de solicitar a aplicación do 155 ó parlamento de madrít polos graves incumprimentos da "carta magna"</t>
  </si>
  <si>
    <t>OVD-PNA-ZCH-NYC-MAD</t>
  </si>
  <si>
    <t>Asturiana. Mamá de dos. Periodista. Comunicación. Analizo medios y RRSS en @dogtrack_es. Profe en @uocuniversidad y @villanuevaCU. Liderazgo femenino #Educación</t>
  </si>
  <si>
    <t>http://www.linkedin.com/in/carolinadiazesp</t>
  </si>
  <si>
    <t>https://www.eldiario.es/arsenioescolar/articulos-Constitucion-incumplen-nadie-alarme_6_715038520.html</t>
  </si>
  <si>
    <t>Nieves B Jiménez</t>
  </si>
  <si>
    <t>Albert Rivera a los medios en el #Congreso: "Lo primero que hay que hacer hoy es defender y aplicar la Constitución. Lo segundo, si hay que reformarla, es buscar consensos. Yo apelo a los partidos constitucionalistas, pero el sanchismo tendría que volver al constitucionalismo".</t>
  </si>
  <si>
    <t>Fillo de Maruja do Laxeiro. Procrastinando. Criando ós meus cachorros. Convencido de que hai que afiar as forquillas enferruxadas dos alboios dos avós `☆</t>
  </si>
  <si>
    <t>MAD/MU</t>
  </si>
  <si>
    <t>Periodista | Columnista en La Verdad y La Gaceta | Líbero | Jot Down | esRadio Cultura | Elle Comunicación M.</t>
  </si>
  <si>
    <t>https://www.jotdown.es/2018/02/murcia-una-escena-teatral-con-denominacion-de-origen/</t>
  </si>
  <si>
    <t>Juan García 🇪🇸🇪🇺</t>
  </si>
  <si>
    <t>Hola @Albert_Rivera si la preocupación es que arrimándote a VOX te van a llamar fascista,te informo,toda la basurita podemita y golpista te lo llama ya,ni caso al ruido de esa gentuza,es que no es echar a Susana,no es eso,es echar 36 años de socialismo con los peores indicadores.</t>
  </si>
  <si>
    <t>Juan</t>
  </si>
  <si>
    <t>En el #DiaDeLaConstitucion Albert Rivera va enseñando la "patita" con VOX. No descarta gobernar con los fascistas de @Santi_ABASCAL en Andalucia. Es como una veleta.</t>
  </si>
  <si>
    <t>https://pbs.twimg.com/media/DtudAkUWsAIJ2Jl.jpg</t>
  </si>
  <si>
    <t>Si la sociedad no funciona, es un deber con tu ayuda intentar transformarla</t>
  </si>
  <si>
    <t>Sevilla (España)</t>
  </si>
  <si>
    <t>---Personal Twitter--- Not Disturb. RT ≠ endorsement. Señoro. Bestia y con bache en el ADN. Blas de Lezo y 10 más. NO al lazismo. #teamfacha</t>
  </si>
  <si>
    <t>Antifascista total🎗</t>
  </si>
  <si>
    <t>El lorito falangista de Albert Rivera con su discurso rancio y fascista, loando los #40AñosDeConstitución. Es una marioneta hueca dirigida por los ricos del IBEX-35. Es como escuchar el NO-DO de Franco. Da asco escucharlo. Un charlatán fascismo y peligroso.👹</t>
  </si>
  <si>
    <t>País Andaluz</t>
  </si>
  <si>
    <t>Decepcionado con lo que veo :-(</t>
  </si>
  <si>
    <t>Más comentados ahora en Cataluña/Catalanismo: ➀ @gabrielrufian ↓ ➁ @GorkaKB ↓ ➂ @InesArrimadas ↓ ➃ @sanchezcastejon ↓ ➄ @culebra1978 ↓ ➅ @rac1 ↓ ➆ @manuelvalls ↓ ➇ @Albert_Rivera ↓ ➈ @ManuelaCarmena ↓ ➉ @PrimariesCat ↓</t>
  </si>
  <si>
    <t>Rosalía Bengoechea I</t>
  </si>
  <si>
    <t>Albert Rivera dando el mitin en el día de La Constitución.</t>
  </si>
  <si>
    <t>Antes @R_lia</t>
  </si>
  <si>
    <t>Más comentados ahora en Derecha/Centro Dcha.: ➀ @ANDRES_CANO42 ↓ ➁ @Albert_Rivera ↓ ➂ @ahorapodemos ↓ ➃ @CristinaSegui_ ↑ ➄ @sanchezcastejon ↓ ➅ @daniel_portero ↑↑↑ ➆ @ldpsincomplejos ↓ ➇ @InesArrimadas ↑ ➈ @vox_es ↓</t>
  </si>
  <si>
    <t>#40AñosdeConstitución Albert Rivera, presidente de Ciudadanos: "Hay que celebrar que tenemos los mejores 40 años en democracia, la mejor Constitución de nuestra historia. Una de las más progresistas del mundo"  #40ConstituciónRTVE</t>
  </si>
  <si>
    <t>Y este @Albert_Rivera después de ganar unas elecciones lo pone como candidato de Tabarnia Alguien tiene que estar muy perdido 😉 RT @doguionrego: @Berta_Lopecin @MONTESQUIEU1956 @manuelvalls Es alucinante tiene delante a una banda de malversadores de fondos públicos que por insolidaridad e impunidad están pegando un perpetuo golpe de estado contra una democracia Europea y dice que el fascismo está en el que saca la bandera de España 😃</t>
  </si>
  <si>
    <t>https://pbs.twimg.com/media/DtucqsTU0AAIBfw.jpg</t>
  </si>
  <si>
    <t>https://twitter.com/doguionrego/status/1070467436951031808</t>
  </si>
  <si>
    <t>Radio Minuto 93</t>
  </si>
  <si>
    <t>Por cosas como esta no votaré más a @CiudadanosCs. Lo tenías a huevo para comerte el país, @Albert_Rivera, pero has sido un cobarde y sigues siéndolo. Terminareis como @UPYD por torpes.</t>
  </si>
  <si>
    <t>Albert Rivera dando lecciones sobre democracia y consenso y haciendo campaña hablando de "sanchismos" y "constitucionalismos", cuando se dedica a incendiar cada lugar por el que pasa. Si es que hay que quererlo #40AñosDeConstitución #DiaDeLaConstitucion #Constitucion40</t>
  </si>
  <si>
    <t>https://okdiario.com/espana/madrid/2018/12/05/cs-pacta-psoe-podemos-librar-sanchez-explicar-tesis-fake-asamblea-madrid-3432942/amp?__twitter_impression=true</t>
  </si>
  <si>
    <t>No somos políticamente correctos.</t>
  </si>
  <si>
    <t>Saganismo</t>
  </si>
  <si>
    <t>Albert Rivera. Debemos olvidarnos de los bloques y aprender del pasado que se pusieron de acuerdo a pesar de que eran muy diferentes. Eso si, con catalanes indepes y podemitas yo no hablo. Bravísimo.</t>
  </si>
  <si>
    <t>Si no te gusta el deporte, te has equivocado de sitio.</t>
  </si>
  <si>
    <t>Más influyentes ahora en Derecha/Centro Dcha.: ➀ @ANDRES_CANO42 ↓ ➁ @Albert_Rivera ↓ ➂ @CristinaSegui_ ↑ ➃ @daniel_portero ↑↑↑ ➄ @ldpsincomplejos ↓ ➅ @josepramonbosch ↓ ➆ @JosPastr ↓ ➇ @juanchoex ↓↓ ➈ @javiernegre10 ↑</t>
  </si>
  <si>
    <t>Lean @tutoquiroga @ANDRES_CANO42 @PPopular @beatrizbecerrab @Albert_Rivera @marianorajoy @pablocasado_ Zapatero corrupto ladrón fuera de Venezuela 🇻🇪 RT @ANDRES_CANO42: #Venezuela el cantante y presentador español @BertinOsborne confirma que el impresentable de #Zapatero recibe dinero del narco dictador Maduro. una verdadera vergüenza para #España</t>
  </si>
  <si>
    <t>Ανδρες</t>
  </si>
  <si>
    <t>Los discusos de Albert Rivera son de fiesta de fin de curso chavalll qué vacíos son y qué quedabiennnn</t>
  </si>
  <si>
    <t>https://twitter.com/andres_cano42/status/1070375854373507072</t>
  </si>
  <si>
    <t>pic.twitter.com/vl8qAK80q7</t>
  </si>
  <si>
    <t>Córdoba, Andalucía</t>
  </si>
  <si>
    <t>•Long steem roses are the way to your heart, but he needs to start with your head• Filología Clásica e Hispánica (US). Córdoba🌹🌿 ☀️♋︎🌙♈︎🔺️♍︎</t>
  </si>
  <si>
    <t>https://www.tumblr.com/blog/andreesjauregui</t>
  </si>
  <si>
    <t>Observando el comportamiento de @Albert_Rivera esta frase de Machado le viene estupendamente. RT @MiguelBarrero: Decía Antonio Machado que los que siempre están de vuelta de todo son los que nunca han ido a ninguna parte.</t>
  </si>
  <si>
    <t>https://twitter.com/MiguelBarrero/status/1070225671111225344</t>
  </si>
  <si>
    <t>Mariano Alonso</t>
  </si>
  <si>
    <t>Albert Rivera, el primer líder que atiende a los medios en la carpa del #40AnosConstitucion en el Congreso. “Esta Constitución y España tienen futuro” ha dicho el presidente de Ciudadanos.</t>
  </si>
  <si>
    <t>https://pbs.twimg.com/media/DtucO9TXQAAWfjP.jpg</t>
  </si>
  <si>
    <t>Jesús V. Márquez</t>
  </si>
  <si>
    <t>Getafe, Comunidad de Madrid</t>
  </si>
  <si>
    <t>Albert Rivera. Elecciones Andalucía 2018 - YouTube ⁦@Albert_Rivera⁩ : os prometo que vamos a cumplir, mandando al psoe a la oposición y formando un gobierno con el ⁦@PPopular⁩.</t>
  </si>
  <si>
    <t>Periodista Journalist Corresponsal político y parlamentario en Libertad Digital y esRadio. Antes COPE y LDTV.</t>
  </si>
  <si>
    <t>https://www.youtube.com/watch?v=RTaLCxiU6KU</t>
  </si>
  <si>
    <t>En el 40 aniversario de nuestra Constitución, quiero compartir este artículo de Albert Rivera: ✍🏻 “Defender y actualizar nuestra Constitución”</t>
  </si>
  <si>
    <t>https://www.20minutos.es/noticia/3508559/0/albert-rivera-defender-nuestra-constitucion/</t>
  </si>
  <si>
    <t>Alcorcón, Comunidad de Madrid</t>
  </si>
  <si>
    <t>Ingeniero Técnico Telecomunicación (UPM - Acústica, Ruido y Vibraciones ) Alcorcón y España Naranja.</t>
  </si>
  <si>
    <t>Angela LS</t>
  </si>
  <si>
    <t>Hoy hemos estado en el acto por los #40AñosDeConstitución Gracias @InesArrimadas @manuelvalls @Albert_Rivera A sido un placer poder escucharos. #CsSolsona</t>
  </si>
  <si>
    <t>https://pbs.twimg.com/media/DtsM9aIWkAATAei.jpg</t>
  </si>
  <si>
    <t>Solsona, Cataluña, España</t>
  </si>
  <si>
    <t>Chica con ganas de progresar y poner mi granito de arena por construir un mundo mejor. Coordinadora de Cs Solsona (Solsonès).</t>
  </si>
  <si>
    <t>Gemma</t>
  </si>
  <si>
    <t>Albert Rivera antes de apoyar el lobby de los vientres de alquiler decía lo mismo... RT @elprogramadear: .@Santi_ABASCAL : "El matrimonio es la unión entre un hombre y una mujer" @vox_es #AbascalAR</t>
  </si>
  <si>
    <t>Enrique Boto</t>
  </si>
  <si>
    <t>¿Pactar con @vox_es? Inadmisible si quiere gobernar el segundo. Admisible si quiere gobernar el tercero. @manuelvalls @Albert_Rivera</t>
  </si>
  <si>
    <t>https://twitter.com/elprogramadear/status/1070258176149413888
http://bitly.is/2E3iAmE</t>
  </si>
  <si>
    <t>https://pbs.twimg.com/media/DtpSIPMWsAA8nMe.jpg</t>
  </si>
  <si>
    <t>Madrid-España-Unión Europea</t>
  </si>
  <si>
    <t>El poder del ciudadano</t>
  </si>
  <si>
    <t>Andrés De Francisco 🎗</t>
  </si>
  <si>
    <t>Por fin quien es el departamento de prensa de Albert Rivera?</t>
  </si>
  <si>
    <t>Catalunya.</t>
  </si>
  <si>
    <t>En contra de lo toros y la cacería. Republicano, demócrata, anti-fascista y apoyo a los catalanes contra los atropellos del estado español.</t>
  </si>
  <si>
    <t>M m m🌹</t>
  </si>
  <si>
    <t>He llegado a encontrar en la zona negra de Internet fanfics sobre @Albert_Rivera. Es usted todo un rompecorazones señor. Mis respetos.</t>
  </si>
  <si>
    <t>Algeciras, Cádiz</t>
  </si>
  <si>
    <t>Je ne sais pas🤓</t>
  </si>
  <si>
    <t>Con nuestra Constitución, los españoles definitivamente dejamos de ser enemigos para convertirnos en compatriotas, en ciudadanos libres e iguales. Desde el Congreso, el lugar que la vio nacer, feliz #DíaDeLaConstitución a todos. 🇪🇸 #40AñosDeConstitución</t>
  </si>
  <si>
    <t>Ciudadanos como siempre sacando los pies del tiesto, si PP tiene mas diputados sera el que tenga que ser presidente....asi agradece a los andaluces que le hayan votado el doble. #Noescoherente @Albert_Rivera @CiudadanoVille RT @EnriqueBoto: Cs amenaza con nuevas elecciones en Andalucía porque no quiere que el 'popular' Moreno sea presidente  Sería un grave error forzar nuevas elecciones. @Albert_Rivera @CiudadanoVille</t>
  </si>
  <si>
    <t>cocorum</t>
  </si>
  <si>
    <t>Medios andaluces piden a sus periodistas que no llamen “ultraderecha” a Vox, al igual que Albert primo de Rivera solo ven españoles  vía @elsaltodiario</t>
  </si>
  <si>
    <t>https://www.elsaltodiario.com/medios/medios-andaluces-piden-a-sus-periodistas-que-no-llamen-ultraderecha-a-vox</t>
  </si>
  <si>
    <t>https://twitter.com/EnriqueBoto/status/1070409154697854976
https://okdiario.com/espana/andalucia/2018/12/05/cs-amenaza-nuevas-elecciones-andalucia-porque-no-quiere-que-popular-moreno-sea-presidente-3432237#.XAgvfG5FIwk.twitter</t>
  </si>
  <si>
    <t>unknow</t>
  </si>
  <si>
    <t>sols el poble salva el poble</t>
  </si>
  <si>
    <t>Hoy me quedo con la parte constructiva, que placer oíros, que educación y que corrección, claridad de ideas y coherencia @Albert_Rivera @InesArrimadas @manuelvalls 👏👏👏</t>
  </si>
  <si>
    <t>https://pbs.twimg.com/media/DtsFKgnWsAAI-SO.jpg</t>
  </si>
  <si>
    <t>INFH NDPNTSM 061218110027 Pablo Iglesias, Albert Rivera, Joan Tarda y Ana Oramas pugnaran por el Premio al mejor orado 2018/12/05 17:03:45 lavanguardia El secretario</t>
  </si>
  <si>
    <t>https://www.lavanguardia.com/vida/20181205/453382009957/pablo-iglesias-albert-rivera-joan-tarda-y-ana-oramas-pugnaran-por-el-premio-al-mejor-orador-del-parlamento.html</t>
  </si>
  <si>
    <t>XavierMarin3 🎗</t>
  </si>
  <si>
    <t>No, si no queremos que nos digas nada @Albert_Rivera, estás mejor callado y tus “torceduras mentales” ya las conocemos; eres el nazi onalista más “desinhibido” y amenazador de la peninsula. Ojo....que te vienen competidores !!! RT @Albert_Rivera: Nacionalismo y populismo son hoy las mayores amenazas a España y a Europa. Iglesias ataca diariamente a la Constitución y a la Jefatura del Estado. Yo si tengo que escoger entre él o Felipe VI... Qué queréis que os diga 😉 #40AñosDeConstitución</t>
  </si>
  <si>
    <t>https://twitter.com/albert_rivera/status/1070425503234961410</t>
  </si>
  <si>
    <t>Nascut a Barcelona. Empresari. Consultor d'empreses i Recursos Humans.</t>
  </si>
  <si>
    <t>M. Rolle🔻🏳️‍🌈 \( •_•)_☭╰☆╮️</t>
  </si>
  <si>
    <t>Llegar a presidente del gobierno bajo el efecto de las drogas. ¿Desde cuándo aspiro a ser @Albert_Rivera? RT @cai_nyabel: Juguemos, cuál será tu logro en 2019?</t>
  </si>
  <si>
    <t>Galiza/Marte/Faluya/Ultramemia</t>
  </si>
  <si>
    <t>Irmandiño, antifa e techie. Bi. Palestino al cuello, gasolina y mechero. Denantes mortos ca escravos. No pasarán. Afouteza, Marxismo e lume ao cacique. @UJCE</t>
  </si>
  <si>
    <t>https://ca.wikipedia.org/wiki/Sant_Esteve_de_les_Roures</t>
  </si>
  <si>
    <t>Tribuna País Vasco</t>
  </si>
  <si>
    <t>Albert Rivera confirma en una carta a los militantes de Ciudadanos que desalojarán al PSOE de la Junta de Andalucía.</t>
  </si>
  <si>
    <t>https://latribunadelpaisvasco.com/art/10136/albert-rivera-confirma-que-desalojaran-al-psoe-de-la-junta-de-andalucia</t>
  </si>
  <si>
    <t>https://pbs.twimg.com/media/DtuXw9OXgAAY2qF.jpg</t>
  </si>
  <si>
    <t>San Sebastián (España)</t>
  </si>
  <si>
    <t>Una mirada global al mundo desde el País Vasco. Contenidos relevantes y puntos de vista diferentes. Nuevos medios y nuevas idea para los nuevos tiempos.</t>
  </si>
  <si>
    <t>http://www.latribunadelpaisvasco.com</t>
  </si>
  <si>
    <t>Más comentados ahora en Cataluña/Catalanismo: ➀ @GorkaKB ↓ ➁ @gabrielrufian ↓ ➂ @sanchezcastejon ↑↑ ➃ @InesArrimadas ↑ ➄ @rac1 ➅ @Albert_Rivera ↑ ➆ @manuelvalls ↑ ➇ @culebra1978 ↑ ➈ @miqueliceta ↓ ➉ @jcanadellb ↓</t>
  </si>
  <si>
    <t>Marina</t>
  </si>
  <si>
    <t>Voxmitando. Para expulsar al PSOE de la Junta, la extrema derecha exige que Albert Rivera y Pablo Casado degraden Andalucía</t>
  </si>
  <si>
    <t>España. Sevilla</t>
  </si>
  <si>
    <t>Me llamo Marina trabajo Cómo TEL en el SAS. Soy socialista</t>
  </si>
  <si>
    <t>Más comentados ahora en Derecha/Centro Dcha.: ➀ @Albert_Rivera ↓ ➁ @ANDRES_CANO42 ↑ ➂ @InesArrimadas ↓ ➃ @sanchezcastejon ↑ ➄ @ahorapodemos ↑ ➅ @vox_es ↑ ➆ @juanchoex ↓ ➇ @manuelvalls ↑ ➈ @Santi_ABASCAL ↑</t>
  </si>
  <si>
    <t>Teresa García Sena</t>
  </si>
  <si>
    <t>Elecciones andaluzas: Albert Rivera priorizará negociar con el PP en Andalucía y no descarta que Vox entre en el Gobierno | España</t>
  </si>
  <si>
    <t>https://www.elmundo.es/espana/2018/12/05/5c07d10afc6c83de3f8b475c.html</t>
  </si>
  <si>
    <t>Candidata del PP Valencia al Congreso</t>
  </si>
  <si>
    <t>Más influyentes ahora en Derecha/Centro Dcha.: ➀ @ANDRES_CANO42 ↑ ➁ @Albert_Rivera ↓ ➂ @juanchoex ↓ ➃ @josepramonbosch ↑ ➄ @Santi_ABASCAL ↓ ➅ @JosPastr ↓ ➆ @ldpsincomplejos ↓ ➇ @Nanchinho ↑ ➈ @MiguelMarfil2 ↑</t>
  </si>
  <si>
    <t>Don't tread on me 🇪🇸🇮🇱🇺🇸</t>
  </si>
  <si>
    <t>*Me despierto* *Me suena el movil* *Tienes un nuevo correo de Albert Rivera*</t>
  </si>
  <si>
    <t>Altitude 400km inclination 51</t>
  </si>
  <si>
    <t>Publius Quinctilius Varus, legiones redde! Encabezado hecho por @pelusametalera_</t>
  </si>
  <si>
    <t>http://www.latostadora.com/Democracy</t>
  </si>
  <si>
    <t>“Si no os gusta esta Constitución, pues nada, volvemos a aplicar el Fuero de los Españoles de 1945 y santaspascuas” (Albert Rivera, ante las criticas a la CE de 1978) ......... No es verídico. Pero es verosímil.</t>
  </si>
  <si>
    <t>Chus* P.G.</t>
  </si>
  <si>
    <t>Esto son las cosas incongruentes de @CiudadanosCs 😡😡😡😡 @Albert_Rivera 😡😡😡💩💩💩 RT @okdiario: #ÚLTIMAHORA | C's pacta con PSOE y Podemos librar a Sánchez de explicar su tesis ‘fake’ en la Asamblea de Madrid</t>
  </si>
  <si>
    <t>Lic. CC. Políticas&amp;RR. Int.//Por este orden: Madre, esposa, infatigable trabajadora &amp; emprendedora. Pedes in terra ad sidera visus.</t>
  </si>
  <si>
    <t>Ja n'hi ha prou!!!🎗️</t>
  </si>
  <si>
    <t>Que estrés @Albert_Rivera, que si quiero a Valls, que si quiero a Vox, que si TV3 adoctrina pero el adoctrinado por el régimen del 78 soy yo... relájate que se te empieza a ver el cartón!</t>
  </si>
  <si>
    <t>https://pbs.twimg.com/media/DtsCsSPW0AEvKiW.jpg</t>
  </si>
  <si>
    <t>Gramenet Del Besòs - Catalunya</t>
  </si>
  <si>
    <t>-Si no pots volar, corre. Si no pots córrer, camina. Si no pots caminar, arrossega't, però facis el que facis, segueix movent-te cap endavant-Martin Luther King</t>
  </si>
  <si>
    <t>Maik 🎗</t>
  </si>
  <si>
    <t>¿El ascenso de cuál de estos movimientos preocupa a @albert_rivera? ❌VOX ❌ Franquismo ✔ Podemos ✔ Independentismo</t>
  </si>
  <si>
    <t>Tráeme la cabeza de Albert Rivera: la gran broma del Museo de Cera no es lo que crees</t>
  </si>
  <si>
    <t>https://www.elconfidencial.com/cultura/2018-12-06/cronica-urgente-espana-museo-cera-cabeza-rivera-broma_1678174/?utm_source=facebook&amp;utm_medium=social&amp;utm_campaign=BotoneraWeb</t>
  </si>
  <si>
    <t>Bilbo, Bizkaia</t>
  </si>
  <si>
    <t>22. Basque 🇪🇺. Engineering student. Atheitst. MZ irekiak. MD oberts. EUS/CAT/ES/FR/EN/DE/JP #NousCatalanoparlants</t>
  </si>
  <si>
    <t>http://instagram.com/mik.sama</t>
  </si>
  <si>
    <t>A. Navarro Jimenez</t>
  </si>
  <si>
    <t>Curioso oir hablar a @Albert_Rivera de que el PSOE debe asumir la derrota, curioso, curioso...de quién quedó tercero y no fue capaz de superar al PP</t>
  </si>
  <si>
    <t>Torremolinos</t>
  </si>
  <si>
    <t>Un Perico de este mundo.....</t>
  </si>
  <si>
    <t>L_Najmanovic13</t>
  </si>
  <si>
    <t>La constitución es una farsa, que PP PSOE y Cs se pasan por el forro cuando lo necesitan! @JosepBorrellF @sanchezcastejon @pablocasado_ @Albert_Rivera @InesArrimadas #LlibertatPresosPoliticsiExiliats #ConstitucionEspanola #40AñosDeConstitución #CDR</t>
  </si>
  <si>
    <t>Barcelona,Catalunya.</t>
  </si>
  <si>
    <t>Entrenador de bàsquet, Professor d'educació física i Republicà.🎗</t>
  </si>
  <si>
    <t>el mandrogrinch 666</t>
  </si>
  <si>
    <t>En el paraíso de Albert Rivera</t>
  </si>
  <si>
    <t>https://pbs.twimg.com/media/DtuUEiPWwAEAS51.jpg</t>
  </si>
  <si>
    <t>Almería, España</t>
  </si>
  <si>
    <t>Aprobado por la real academia de mi http://escroto.No soy vago,es que no me gusta perder tiempo en lo que considere innecesario.Chico barroco.24 años.</t>
  </si>
  <si>
    <t>Luis M. Rubio</t>
  </si>
  <si>
    <t>A ver si va a resultar que @Albert_Rivera se refiere a Vox? Como no tenían representación en ningún parlamento limpios están, capacidad de diálogo la tienen (con Cs y PP) y crecer han crecido......Qué lástima de Nueva Política! RT @CiudadanosCs: 📽 @Albert_Rivera "La Ejecutiva de Cs ha decidido abrir negociaciones para un nuevo gobierno en Andalucía con exigencias claras: que sea un gobierno de cambio, que al frente esté un partido limpio con capacidad de diálogo y que lidere una opción que crece en votos" #ActualidadCs</t>
  </si>
  <si>
    <t>https://twitter.com/CiudadanosCs/status/1070307427344703489</t>
  </si>
  <si>
    <t>DDRitter🔻 🏳️‍🌈</t>
  </si>
  <si>
    <t>Este corte de Albert Rivera diciendo que son de centro-izquierda sin tartamudear hay que recordarlo de vez en cuando:</t>
  </si>
  <si>
    <t>https://pbs.twimg.com/media/Dtp5SugW0AAX33O.jpg</t>
  </si>
  <si>
    <t>https://www.youtube.com/watch?v=3exMYQVP5A4</t>
  </si>
  <si>
    <t>De Ciencias con querencia por las Letras, independiente, socialdemócrata, descreído de muchas cosas pero creyente en el ser humano a pesar de todo</t>
  </si>
  <si>
    <t>Europe</t>
  </si>
  <si>
    <t>Geek, ateo, escéptico, aspirante a feminista, animalista, antipatriota y un poco grammar nazi. Si queda alguna persona por aquí tras leer esto, es bienvenida ^^</t>
  </si>
  <si>
    <t>En este escenario dentro de poco hasta los andaluces se querrán independizar de tanta mierda. @Albert_Rivera eres tan estúpido que no sabes en qué te metes? O es que eres el verdadero torpedo de la democracia? RT @espana_karmen: Estas son sus condiciónes para apoyar un posible gobierno pp cs Ahora se tendrá que retratarse Cs, es de centro derecha o es de extrema derecha Será un partido Europeísta, o se le considerará un cordón sanitario como a vox</t>
  </si>
  <si>
    <t>Me pregunto si Albert Rivera y Juan Marín les pareció bien el cambio de la Jueza Alaya, éste hecho es uno de los más bochornosos de la democracia española con la colaboración de éste partido que ayuda a éste psoe corrupto, éste partido foma parte del sistema, CUIDADO</t>
  </si>
  <si>
    <t>https://twitter.com/espana_karmen/status/1070446604954554368</t>
  </si>
  <si>
    <t>https://pbs.twimg.com/media/Dtr9gGuWsAIqr0P.jpg</t>
  </si>
  <si>
    <t>José L.Casas Alonso</t>
  </si>
  <si>
    <t>Si les juzgamos por sus hechos,habría que pensar que,ni Albert Rivera,ni Pablo Casado están luchando a muerte,no por ntro. bienestar,si no por el Poder.¿Poder para qué?. RT @ErnestoEkaizer: #Rac1 Ekaizer&amp;Clapés: “No confiaría en los principios de Albert Rivera porque no creo que los tenga...” @rac1</t>
  </si>
  <si>
    <t>Boticario sin Botica.</t>
  </si>
  <si>
    <t>Matías Alonso</t>
  </si>
  <si>
    <t>Con @Albert_Rivera @InesArrimadas y @manuelvalls celebrando la vigencia de nuestro ordenamiento democrático, de la Constitución que nos hace libres e iguales y que nos ha traído el periodo más fructífero de paz y prosperidad #40AñosConstitución</t>
  </si>
  <si>
    <t>https://pbs.twimg.com/media/Dtr9NroWoAAyCPK.jpg</t>
  </si>
  <si>
    <t>Catalunya, España, UE</t>
  </si>
  <si>
    <t>Diputado de @CiutadansCs en el Parlament de Cataluña por la provincia de Tarragona. Responsable Área de Defensa en el Comité Ejecutivo Nacional de @CiudadanosCs</t>
  </si>
  <si>
    <t>http://matias.alonsodepedro.net</t>
  </si>
  <si>
    <t>Cualquiera que se manifieste contra @Albert_Rivera es un radical. El día que llegue al gobierno no va a tener suficientes prisiones para encerrarnos a todos RT @albertmartnez: Al·legant al fet que no podien cedir davant dels "radicals" han decidit, després d'informar-ho als periodistes, que entrarien per la porta principal i protegits pels Mossos. Aquí teniu l'escena.</t>
  </si>
  <si>
    <t>https://twitter.com/albertmartnez/status/1070422803546030080</t>
  </si>
  <si>
    <t>pic.twitter.com/XISV9tnBw6</t>
  </si>
  <si>
    <t>📰 @Albert_Rivera "La Constitución española de 1978 es una de las mejores del mundo. Eso es una realidad jurídica, política e histórica irrebatible" @20m</t>
  </si>
  <si>
    <t>https://www.google.es/amp/s/amp.20minutos.es/noticia/3508559/0/albert-rivera-defender-nuestra-constitucion/</t>
  </si>
  <si>
    <t>Manolo Mendoza</t>
  </si>
  <si>
    <t>Hoy los antidemocratas han intentado mediante un escrache que no celebrasemos un acto con @Albert_Rivera, @InesArrimadas y @manuelvalls para conmemorar los #40AñosDeConstitución El fascimos intolerante #NoNosCallarán @CiudadanosCs</t>
  </si>
  <si>
    <t>pic.twitter.com/InSH85dag4</t>
  </si>
  <si>
    <t>Badalona</t>
  </si>
  <si>
    <t>Adjunto Organización Cs Bcn-Este 🍊 Si quieres respeto, respeta. Todo aquel qué utiliza el insulto como argumento pierde toda la razón.</t>
  </si>
  <si>
    <t>José Benedicto</t>
  </si>
  <si>
    <t>El guerracivilista @Albert_Rivera dice que no puede jugar el partido del guerracivilismo. Puro Goebbels.</t>
  </si>
  <si>
    <t>yamaha tricker</t>
  </si>
  <si>
    <t>I liked a @YouTube video  ¡¡"BRUTAL" la RESPUESTA de ALBERT RIVERA a una PERIODISTA sobre el CIS!!</t>
  </si>
  <si>
    <t>gijon</t>
  </si>
  <si>
    <t>http://yamahatricker.blogspot.com.es/?zx=344a151fea889dd8</t>
  </si>
  <si>
    <t>Misántropo. Pr(e)castinador.</t>
  </si>
  <si>
    <t>Alejandro Meraviglia</t>
  </si>
  <si>
    <t>Resumen del editorial de @lemondefr Cuando se tiene cultura democrática, la línea que el @PPopular de @pablocasado_ y @CiudadanosCs de @Albert_Rivera están deseando cruzar está fuera de consideración. Aun si @psoeandalucia merece salir. Un tal @manuelvalls les puede aconsejar. RT @AJMeraviglia: L’entrée de l’extrême droite au Parlement andalou marque la fin de l’exception espagnole El editorial de #LeMonde sobre España y elecciones andaluzas: "España se ha convertido en un país "normal" en el seno de la UE, y es una mala noticia"  vía @lemondefr</t>
  </si>
  <si>
    <t>https://twitter.com/AJMeraviglia/status/1070432670235148289
https://www.lemonde.fr/idees/article/2018/12/04/extreme-droite-la-fin-de-l-exception-espagnole_5392484_3232.html</t>
  </si>
  <si>
    <t>P. escoto</t>
  </si>
  <si>
    <t>Infografista en Cinco Días. Sólo≠Solo</t>
  </si>
  <si>
    <t>Constitución, 40 años | Directo: Albert Rivera asegura que "la mejor reforma de la Constitución es aplicarla"</t>
  </si>
  <si>
    <t>https://www.europapress.es/nacional/noticia-constitucion-40-anos-directo-20181206085938.html</t>
  </si>
  <si>
    <t>Más comentados ahora en Derecha/Centro Dcha.: ➀ @Albert_Rivera ↑ ➁ @sanchezcastejon ↑ ➂ @InesArrimadas ↑ ➃ @manuelvalls ↓ ➄ @ahorapodemos ↑ ➅ @ANDRES_CANO42 ↓ ➆ @vox_es ↓ ➇ @PPopular ↑ ➈ @juanchoex ↑</t>
  </si>
  <si>
    <t>Cuando nos quejamos con un ¡Ay! o un ¡Ouch!, estamos activando una alarma para avisar sobre la existencia de un peligro. Medicina. Salud.Salud...</t>
  </si>
  <si>
    <t>Más comentados ahora en Cataluña/Catalanismo: ➀ @gabrielrufian ↓ ➁ @GorkaKB ↑ ➂ @InesArrimadas ↓ ➃ @rac1 ↑ ➄ @Albert_Rivera ↓ ➅ @sanchezcastejon ↑ ➆ @manuelvalls ↓ ➇ @jcanadellb ↓ ➈ @culebra1978 ↓ ➉ @PSOE ↓</t>
  </si>
  <si>
    <t>Voyager</t>
  </si>
  <si>
    <t>Si @Albert_Rivera cede al PSOE o Podemos perderá toda credibilidad y Vox será imparable.... Pablo Iglesias plantea a Ciudadanos que ponga "encima de la mesa" un acuerdo para Andalucía</t>
  </si>
  <si>
    <t>https://okdiario.com/espana/2018/12/05/iglesias-plantea-ciudadanos-que-ponga-encima-mesa-acuerdo-andalucia-3430367/amp</t>
  </si>
  <si>
    <t>Interstellar space</t>
  </si>
  <si>
    <t>Políticamente incorrecto. La realidad ante los ojos de todos.</t>
  </si>
  <si>
    <t>http://voyager.jpl.nasa.gov</t>
  </si>
  <si>
    <t>Más influyentes ahora en Derecha/Centro Dcha.: ➀ @Albert_Rivera ↑ ➁ @ANDRES_CANO42 ↓ ➂ @juanchoex ↑ ➃ @ldpsincomplejos ↑ ➄ @libertaddigital ↑ ➅ @JosPastr ↓ ➆ @josepramonbosch ↑ ➇ @Santi_ABASCAL ↑ ➈ @javiernegre10 ↑</t>
  </si>
  <si>
    <t>Mary Areco</t>
  </si>
  <si>
    <t>Señor Ribera @Albert_Rivera está confundido a la gente. ¡Cómo explica usted lo de TV3 ??!! Después de haber pedido su intervención en reiterada ocasiones, y que ahora estén formando parte de ella con los enemigos. Incoherencia imperdonable.</t>
  </si>
  <si>
    <t>MADRID ESPAÑA.</t>
  </si>
  <si>
    <t>DISEÑADORA de MODAS &amp; REPRESENTANTE. DEPORTE. FÚTBOL #MODA. #MÚSICA. #COCINA.</t>
  </si>
  <si>
    <t>HERALDO publica hoy tanto en su edición impresa como en digital un ESPECIAL sobre los 40 años de la #ConstituciónEspañola con artículos de sanchezcastejon, pablocasado_, Albert_Rivera e ierrejon  #40AñosDeConstitución</t>
  </si>
  <si>
    <t>HispaniaFortius</t>
  </si>
  <si>
    <t>Creo que @CiudadanosCs y @Albert_Rivera últimamente se están haciendo un “Froilán” Entre esto, los pactos de TV3 y las exigencias en #Andalucía los están cubriendo de gloria. RT @okdiario: #ÚLTIMAHORA | C's pacta con PSOE y Podemos librar a Sánchez de explicar su tesis ‘fake’ en la Asamblea de Madrid</t>
  </si>
  <si>
    <t>https://pbs.twimg.com/media/DtuNm1NWoAAgxRm.jpg</t>
  </si>
  <si>
    <t>Pucela</t>
  </si>
  <si>
    <t>Orgulloso de ser ESPAÑOL y Castellano.Liberal https://hispaniafortius.wordpress.com https://gab.ai/HispaniaFortius</t>
  </si>
  <si>
    <t>https://twitter.com/HispaniaFortius</t>
  </si>
  <si>
    <t>Terrorismo sanitario Un chantaje y un expolio a la sanidad pública Donde está Competencia? Donde está la justicia? Este es el mercado libre que pregonan liberales tipo @Albert_Rivera ? Su silencio es su complicidad = el falso patriotismo  vía @el_pais</t>
  </si>
  <si>
    <t>https://elpais.com/sociedad/2018/12/04/actualidad/1543956295_803332.html?id_externo_rsoc=TW_CC</t>
  </si>
  <si>
    <t>Miguel de la Rosa 🦉</t>
  </si>
  <si>
    <t>🤔 ¿Os acordáis cuando @Albert_Rivera decía que votaría que no a quien intente formar un grupo de perdedores para desbancar a la lista más votada? Porque él no lo recuerda</t>
  </si>
  <si>
    <t>Alhaurín el Grande</t>
  </si>
  <si>
    <t>Militante @psoedeandalucia🌹. #AlhaurinElGrande 💚⚪️💜. Aquí me represento a mi mismo. Aficionado del @fcbarcelona.</t>
  </si>
  <si>
    <t>http://www.delarosalopez.es</t>
  </si>
  <si>
    <t>#España @Albert_Rivera: 'Sánchez ha decidido convertir en aliados a Torra y Rufián y ha convertido en adversarios a los que defendemos la Constitución' @CiudadanosCs</t>
  </si>
  <si>
    <t>http://www.lacerca.com/noticias/espana/albert-rivera-sanchez-aliados-convertido-adversarios-defendemos-constitucion-448116-1.html</t>
  </si>
  <si>
    <t>Cs Horta-Guinardó</t>
  </si>
  <si>
    <t>Los intolerantes no han podido evitar que celebremos los #40añosdeConstitución y de democracia con @manuelvalls, @InesArrimadas y @Albert_Rivera #NoNosCallarán #HG7</t>
  </si>
  <si>
    <t>https://pbs.twimg.com/media/DtrwZY4XQAIm8qD.jpg</t>
  </si>
  <si>
    <t>Perfil oficial de la Agrupación de Ciutadans (Cs) del Distrito de Horta-Guinardó de Barcelona.</t>
  </si>
  <si>
    <t>Adan Esmit</t>
  </si>
  <si>
    <t>Sí @pablocasado_ , @Albert_Rivera y @Santi_ABASCAL, son momentos en los que se requiere políticos de gran nivel y responsabilidad. Es hora de España 🇪🇸 por encima de todo. RT @AdanEsmit: Mi recomendación para: @JuanMa_Moreno de @PPopular @JuanMarin_Cs de @CiudadanosCs @FSerranoCastro de @vox_es La formación de gobierno en Andalucía es prioritaria y urgente. Esa responsabilidad no admite cambalaches. En Andalucía hay que resolver los problemas de Andalucía.</t>
  </si>
  <si>
    <t>Armando Hernández</t>
  </si>
  <si>
    <t>https://twitter.com/adanesmit/status/1070407372307423232</t>
  </si>
  <si>
    <t>https://pbs.twimg.com/media/DtrZ0bGWoAAVOzH.jpg</t>
  </si>
  <si>
    <t>http://dlvr.it/QsyDqD</t>
  </si>
  <si>
    <t>https://pbs.twimg.com/media/DtuMX-KU4AIc60p.jpg</t>
  </si>
  <si>
    <t>Todo es más hermoso de lo que recuerdo, de regreso en casa.</t>
  </si>
  <si>
    <t>The world</t>
  </si>
  <si>
    <t>Las Cosas de Adan Esmit: Lucubraciones de un ciudadano español, que no entiende de aficiones políticas. Sólo de hechos y resultados.</t>
  </si>
  <si>
    <t>http://adanesmit.blogspot.com/</t>
  </si>
  <si>
    <t>Sara Fernández Escuer</t>
  </si>
  <si>
    <t>Siempre libre</t>
  </si>
  <si>
    <t>Este es a quién se quiere parecer Albert Rivera @Albert_Rivera RT @pepito_garca: Macron propone que la Unión Europea sanciones a países como Dinamarca, Austria, Italia, Hungría, República Checa o Polonia por no abrir sus puertas a la inmigración masiva.</t>
  </si>
  <si>
    <t>https://twitter.com/pepito_garca/status/1070314512543309824
http://www.leparisien.fr/politique/sanctionner-les-pays-anti-migrants-la-proposition-de-macron-23-06-2018-7789794.php</t>
  </si>
  <si>
    <t>Portavoz de Cs en el Ayuntamiento de Zaragoza. Secretaria de Acción Institucional de Cs Aragón.</t>
  </si>
  <si>
    <t>Amare patriae est nostra lex</t>
  </si>
  <si>
    <t>SAMUEL MERINO ALVES</t>
  </si>
  <si>
    <t>Tras varios días pensando y sin ser andaluz, os recomiendo a @TeresaRodr_ @susanadiaz @JuanMarin_Cs @Pablo_Iglesias_ @sanchezcastejon @Albert_Rivera esta serie. 120 años de Democracia en Dinamarca demuestran lo que es tener sentido de Estado. Si queréis a los andaluces, adelante</t>
  </si>
  <si>
    <t>https://pbs.twimg.com/media/DtrvAJ0WsAcOhyW.jpg</t>
  </si>
  <si>
    <t>Fisioterapeuta Badajoz</t>
  </si>
  <si>
    <t>Hombre @Albert_Rivera!!! Si me das a elegir dice... Entre algo impuesto por un señor bajito y sin un huevo de nombre Paco... La mayor amenaza para el pueblo trabajador, humilde y currante sois vosotros y toda vuestro discurso neoliberal. Sin olvidar al resto de derechas... RT @Albert_Rivera: Nacionalismo y populismo son hoy las mayores amenazas a España y a Europa. Iglesias ataca diariamente a la Constitución y a la Jefatura del Estado. Yo si tengo que escoger entre él o Felipe VI... Qué queréis que os diga 😉 #40AñosDeConstitución</t>
  </si>
  <si>
    <t>David</t>
  </si>
  <si>
    <t>Coincido con @Albert_Rivera . #VERDE RT @Albert_Rivera: Nacionalismo y populismo son hoy las mayores amenazas a España y a Europa. Iglesias ataca diariamente a la Constitución y a la Jefatura del Estado. Yo si tengo que escoger entre él o Felipe VI... Qué queréis que os diga 😉 #40AñosDeConstitución</t>
  </si>
  <si>
    <t>Eugenio</t>
  </si>
  <si>
    <t>Liberty, Austrian Economics and Peace. 🇪🇺 RT≠endorsement</t>
  </si>
  <si>
    <t>Redacción Médica</t>
  </si>
  <si>
    <t>#EnPortada 📰 La ministra @luisacarcedo, al @Congreso_Es por transferir la homologación de médicos extranjeros. cc/ @Albert_Rivera @CiudadanosCs</t>
  </si>
  <si>
    <t>https://www.redaccionmedica.com/secciones/parlamentarios/carcedo-al-congreso-por-transferir-la-homologacion-de-medicos-extranjeros-6093</t>
  </si>
  <si>
    <t>https://pbs.twimg.com/media/Dtq8UCnWoAMEkWd.jpg</t>
  </si>
  <si>
    <t>🌹Consuelo G. ☀️😎</t>
  </si>
  <si>
    <t>Para expulsar al PSOE de la Junta, la extrema derecha exige que Albert Rivera y Pablo Casado degraden Andalucía😳😳😳</t>
  </si>
  <si>
    <t>Periódico online con toda la actualidad del sector sanitario. #medicina #enfermería #farmacia #sanidad #salud #pacientes</t>
  </si>
  <si>
    <t>http://www.redaccionmedica.com</t>
  </si>
  <si>
    <t>Los sueños son sumamente importantes, nada se hace sin que antes se imagine</t>
  </si>
  <si>
    <t>http://Instagram.com/consu_gf</t>
  </si>
  <si>
    <t>http://lrzn.es/gt8bv2</t>
  </si>
  <si>
    <t>https://pbs.twimg.com/media/DtrsQCeWsBcfUDW.jpg</t>
  </si>
  <si>
    <t>https://pbs.twimg.com/media/DtuHTXeXcAEJtRQ.jpg</t>
  </si>
  <si>
    <t>Alitina 🇪🇸 🇻🇪 🇮🇱</t>
  </si>
  <si>
    <t>¡Tócate los cojones! Los de @CiudadanosCs están zumbaos. @Albert_Rivera C's pacta con PSOE y Podemos librar a Sánchez de explicar su tesis ‘fake’ en la Asamblea de Madrid</t>
  </si>
  <si>
    <t>https://okdiario.com/espana/madrid/2018/12/05/cs-pacta-psoe-podemos-librar-sanchez-explicar-tesis-fake-asamblea-madrid-3432942#.XAhCk_5fxTc.twitter</t>
  </si>
  <si>
    <t>Ole Ole</t>
  </si>
  <si>
    <t>Pues sería lo mejor que podría hacer @albert_rivera, que Andalucía fuera a nuevas elecciones, si ahora han quedado 3° en la repetición no les votaba ni su familia, y PP y VOX el copo, pero como sabe q pasaría eso, ahora está mareando la perdiz para al final juntarse con el Psoe RT @newslacostera: Esto es el sentido democrático de @CiudadanosCs Ya ha dejado claro que clase de partido basura es, idéntico a @ahorapodemos. Que vergüenza Rivera. C's amenaza con nuevas elecciones en Andalucía porque no quiere que el 'popular' Moreno sea presidente</t>
  </si>
  <si>
    <t>https://twitter.com/newslacostera/status/1070408306932531200
https://okdiario.com/espana/andalucia/2018/12/05/cs-amenaza-nuevas-elecciones-andalucia-porque-no-quiere-que-popular-moreno-sea-presidente-3432237#.XAgtQjytyGY.twitter</t>
  </si>
  <si>
    <t>Noticiero Universal</t>
  </si>
  <si>
    <t>Constitución, 40 años | Directo: Albert Rivera asegura que "la mejor reforma de la Constitución es aplicarla" -</t>
  </si>
  <si>
    <t>https://noticierouniversal.com/actualidad/constitucion-40-anos-directo-albert-rivera-asegura-que-la-mejor-reforma-de-la-constitucion-es-aplicarla/</t>
  </si>
  <si>
    <t>https://pbs.twimg.com/media/DtuF0WAW0AEiokO.jpg</t>
  </si>
  <si>
    <t>mi único interés, es la defensa de España y los españoles, todos.</t>
  </si>
  <si>
    <t>Noticias en tiempo real</t>
  </si>
  <si>
    <t>http://www.noticierouniversal.com</t>
  </si>
  <si>
    <t>Mariano Cortés ✞ن</t>
  </si>
  <si>
    <t>¿Un partido liberal como @CiudadanosCs puede suscribir tal intromisión en la vida privada? Un particular no puede cruzar su perro (está obligado a esterilizarle). Pueden entrar en casa sin orden judicial. Obligación de pasearle dos veces al día. ¿Pero esto qué es @Albert_Rivera? RT @CsLaRioja: 🏛 Esta semana dimos un paso de gigante contra el maltrato hacia los animales aprobando la proposición de ley de protección de los animales propuesta por @Aparioja. 🍊 Así defendió nuestro posicionamiento @RebecaGrajea ¡Dentro vídeo! 👇</t>
  </si>
  <si>
    <t>Cui Bono</t>
  </si>
  <si>
    <t>Albert Rivera se ha convertido en el presidente del club de fangirls de Macron.</t>
  </si>
  <si>
    <t>https://twitter.com/cslarioja/status/1066754640933400577</t>
  </si>
  <si>
    <t>pic.twitter.com/uJL5xvP95o</t>
  </si>
  <si>
    <t>Atlantis, South Africa</t>
  </si>
  <si>
    <t>Pro NEET</t>
  </si>
  <si>
    <t>Dedicado a gestionar un Hospital en estos tiempos. Eso si, con alegría. Aficionado a la fotografía. Y sobre todo padre de tres hijos.</t>
  </si>
  <si>
    <t>CARLOS TRULLEN CALVO</t>
  </si>
  <si>
    <t>Nuestra Constitución nos ha regalado los mejores años de nuestra historia. Es necesario defenderla día a día, trabajar por su cumplimiento, y seguir actualizándola para adaptarla a los nuevos contextos del siglo XXI. #40anosdeconstitucion</t>
  </si>
  <si>
    <t>https://goo.gl/rCPJAe</t>
  </si>
  <si>
    <t>Padre y Emprendedor de Sueños. Coordinador de Comunicación de Cs Zaragoza.</t>
  </si>
  <si>
    <t>alicia</t>
  </si>
  <si>
    <t>Y @Albert_Rivera pactando con psc e independentistas los cargos en la tv3 que quería cerrar.Cada día entiendo menos a @CiudadanosCs</t>
  </si>
  <si>
    <t>🖋 No te pierdas el artículo de @Albert_Rivera en @20M sobre la Constitución📜 En este afirma que se trata de una de las mejores del mundo y sobre su reforma: para satisfacer a los españoles y no a los que quieren romper España 👉  #40AñosDeConstitución</t>
  </si>
  <si>
    <t>http://ow.ly/OKR630mSrHB</t>
  </si>
  <si>
    <t>https://pbs.twimg.com/media/DtrsQOqWkAAeEVs.jpg</t>
  </si>
  <si>
    <t>CallejeroP #LET #RED</t>
  </si>
  <si>
    <t>El Cis sigue cocinando encuestas. Gasto público inútil. ¿No podriamos suprimir ese organismo? @ivanedlm @Albert_Rivera</t>
  </si>
  <si>
    <t>Empresario, liberal. #SeparaciónDePoderes + Liberalismo. Trasferir competencias a los ciudadanos = Fin corrupción.</t>
  </si>
  <si>
    <t>Como todos/as sabemos, la #ConstituciónEspañola fue escrita y sancionada por Albert Rivera.</t>
  </si>
  <si>
    <t>Abel Sevilla</t>
  </si>
  <si>
    <t>Hoy en el acto de @CiutadansCs @CiudadanosCs en representación de @ShaAcabat junto a mi compañero. Un placer escuchar a @Albert_Rivera @InesArrimadas @manuelvalls, para celebrar el #40añosdeConstitución</t>
  </si>
  <si>
    <t>https://pbs.twimg.com/media/DtrrnlVWwAIK4zq.jpg</t>
  </si>
  <si>
    <t>Lola Pastur</t>
  </si>
  <si>
    <t>Albert Rivera priorizará negociar con el PP en Andalucía y no descarta que Vox entre en el Gobierno  vía @elmundoes</t>
  </si>
  <si>
    <t>No entiendo el mundo, pero tengo la suerte de entenderme a mi misma.</t>
  </si>
  <si>
    <t>Uno más en esta selva. Membre de @ShaAcabat🇪🇸 Alea iacta est 🇪🇺</t>
  </si>
  <si>
    <t>Más comentados hoy en Derecha/Centro Dcha.: ➀ @Santi_ABASCAL ↓ ➁ @ahorapodemos ↑ ➂ @sanchezcastejon ↑ ➃ @vox_es ↑ ➄ @josepramonbosch ↑↑↑ ➅ @Albert_Rivera ↓ ➆ @PPopular ↑ ➇ @juanchoex ↑ ➈ @PSOE ↓ ➉ @ldpsincomplejos ↓</t>
  </si>
  <si>
    <t>https://pbs.twimg.com/media/Dtrrm7CWsAoPawU.jpg</t>
  </si>
  <si>
    <t>Angeles Alvarez</t>
  </si>
  <si>
    <t>Albert Rivera ha aceptado a Vox como interlocutor  vía @voz_populi</t>
  </si>
  <si>
    <t>https://www.vozpopuli.com/_475b8988</t>
  </si>
  <si>
    <t>Madrid España</t>
  </si>
  <si>
    <t>Feminista / Diputada por Madrid - En estos momentos PortaVOZ del @gps_psoe en la Comisión de Igualdad del Congreso /</t>
  </si>
  <si>
    <t>http://www.angelesalvarez.com</t>
  </si>
  <si>
    <t>Ruben Carlos Maya</t>
  </si>
  <si>
    <t>A mí este tío me representa... Es brillante!!! @Albert_Rivera @CiudadanosCs RT @Albert_Rivera: Nacionalismo y populismo son hoy las mayores amenazas a España y a Europa. Iglesias ataca diariamente a la Constitución y a la Jefatura del Estado. Yo si tengo que escoger entre él o Felipe VI... Qué queréis que os diga 😉 #40AñosDeConstitución</t>
  </si>
  <si>
    <t>Del Sur, de muy al Sur...</t>
  </si>
  <si>
    <t>Un HOMBRE hace lo que puede hasta que su DESTINO le es revelado</t>
  </si>
  <si>
    <t>Más influyentes hoy en Derecha/Centro Dcha.: ➀ @Santi_ABASCAL ↓ ➁ @josepramonbosch ↑↑↑ ➂ @juanchoex ↑ ➃ @ldpsincomplejos ↓↓ ➄ @Miotroyo2parte ↓ ➅ @Albert_Rivera ↓ ➆ @JosPastr ↓ ➇ @Alvisepf ↓ ➈ @javiernegre10 ↑↑↑</t>
  </si>
  <si>
    <t>https://pbs.twimg.com/media/DtrrYcKWwAAxlC6.jpg</t>
  </si>
  <si>
    <t>Gabriel Rufián</t>
  </si>
  <si>
    <t>Para poder escoger se tiene que poder votar y eso no lo lleváis muy bien @Albert_Rivera RT @Albert_Rivera: Nacionalismo y populismo son hoy las mayores amenazas a España y a Europa. Iglesias ataca diariamente a la Constitución y a la Jefatura del Estado. Yo si tengo que escoger entre él o Felipe VI... Qué queréis que os diga 😉 #40AñosDeConstitución</t>
  </si>
  <si>
    <t>https://twitter.com/albert_rivera/status/1070425503234961410?s=21</t>
  </si>
  <si>
    <t>Uno más. Diputado de @Esquerra_ERC en el Congreso. Para todos todo, para nosotros nada. Instagram: http://goo.gl/Ns6F60</t>
  </si>
  <si>
    <t>Jordi Carbonell</t>
  </si>
  <si>
    <t>C’s es Vox, Vox es C’s, todavía no se ha enterado Sr.Valls? Rivera, Inés, Girauta, ultraderecha pura y dura, como no van a pactar si son lo mismo. Hijos del franquismo, sembrando odio, provocando y mintiendo, pura escoria política.</t>
  </si>
  <si>
    <t>http://www.gabrielrufian.cat</t>
  </si>
  <si>
    <t>https://www.lavanguardia.com/politica/20181205/453377887754/ciudadanos-albert-rivera-prioriza-pacto-pp-andalucia-irresponsable-descartar-vox-santiago-abascal.html?utm_campaign=botones_sociales_app&amp;utm_source=twitter&amp;utm_medium=social</t>
  </si>
  <si>
    <t>Orgullos del meu país Catalunya</t>
  </si>
  <si>
    <t>CataEspa💔🇪🇸🇪🇺</t>
  </si>
  <si>
    <t>Pablo Iglesias plantea a Ciudadanos que ponga "encima de la mesa" un acuerdo para Andalucía . @Albert_Rivera cualquier anago de pacto con PSOE o Podemos tendrá el mismo efecto que el del PSOE con los indepeseparatas. Al PSOE le quedan 2 telediarios.</t>
  </si>
  <si>
    <t>Geoestrategia y Política</t>
  </si>
  <si>
    <t>#Ciudadanos #VOX Albert Rivera, de Ciudadanos, ese partido de "centro", considera "irresponsable" descartar a Vox de los pactos en Andalucía Las negociaciones se iniciarán a partir de la semana que viene "Fuera fascistas del Liceu": los estudiantes pro…</t>
  </si>
  <si>
    <t>https://ift.tt/2E1lw38</t>
  </si>
  <si>
    <t>https://pbs.twimg.com/media/Dtt-qOrXcAAqvl_.jpg</t>
  </si>
  <si>
    <t>País España (región Cataluña)</t>
  </si>
  <si>
    <t>Barcelona (catalán y español). UB. Hacer retweet no significa adhesión. Si no me sigues no te sigo, creo que es justo.</t>
  </si>
  <si>
    <t>No hemos venido a cambiar de pastor sino a dejar de ser ovejas</t>
  </si>
  <si>
    <t>https://t.me/geoestrategia1</t>
  </si>
  <si>
    <t>José María Espejo</t>
  </si>
  <si>
    <t>Estos independentistas querían boicotear nuestro acto de #40AñosDeConstitución con @Albert_Rivera @InesArrimadas y @manuelvalls. Por supuesto no han podido impedir ni impedirán nunca que expresemos nuestras ideas libremente en nuestra tierra. Ha sido un éxito.</t>
  </si>
  <si>
    <t>Jordi Y.P.</t>
  </si>
  <si>
    <t>Tremendo Albert Rivera entrando y ya grabando en plan youtuber, la política del espectáculo RT @InesArrimadas: Los intolerantes quieren silenciar al partido que ganó las elecciones en Cataluña. Pese a su intento de boicotear nuestro acto en conmemoración de la Constitución, hemos llenado la sala de ilusión. Seguiremos defendiendo la libertad, la igualdad y la unión de todos los españoles</t>
  </si>
  <si>
    <t>pic.twitter.com/v6JO0qbfPP</t>
  </si>
  <si>
    <t>https://twitter.com/InesArrimadas/status/1070410382139891714</t>
  </si>
  <si>
    <t>pic.twitter.com/hlK1wFUrt4</t>
  </si>
  <si>
    <t>Barcelona,Cataluña,España,UE</t>
  </si>
  <si>
    <t>Abogado. Vicepresidente segundo del Parlament de Cataluña. Secretario de Acción Institucional en el Comité Ejecutivo de @CiudadanosCs.</t>
  </si>
  <si>
    <t>IBZ/BCN</t>
  </si>
  <si>
    <t>Jurista i politòleg (🎗️)</t>
  </si>
  <si>
    <t>Marilén Barceló</t>
  </si>
  <si>
    <t>Aunque algunos pretendian boicotearnos no lo han conseguido. @InesArrimadas @Albert_Rivera y @manuelvalls han hablado de nuestra Constitución que se consiguió con el consenso y el diálogo de todos.Hoy es uno de los días que me siento orgullosa de formar parte de mi partido</t>
  </si>
  <si>
    <t>https://pbs.twimg.com/media/DtrqHQUXQAE_P38.jpg</t>
  </si>
  <si>
    <t>Doctora en Psicologia. Portavoz de Ciudadanos-Cs en el Ayuntamiento de Barcelona. https://www.instagram.com/marilenbarcelo/?hl=es</t>
  </si>
  <si>
    <t>https://www.facebook.com/marilen.barceloverea</t>
  </si>
  <si>
    <t>Galindo</t>
  </si>
  <si>
    <t>Comunicado de Albert Rivera a los ciudadanos. Elecciones Andalucía 2018.  vía @YouTube</t>
  </si>
  <si>
    <t>Experto en Bolsa e Inversiones. Versado en materia política, judicial y policial. Militante del Partido de la Ciudadanía @CiudadanosCs</t>
  </si>
  <si>
    <t>marisa paredes</t>
  </si>
  <si>
    <t>Los andaluces pidieron un cambio pero con vosotros @CiudadanosCs y al frente @Albert_Rivera (que es un veleta), espero que lo que prometieron lo cumplan. No seáis traidores de los que os votaron. Perderéis muchos votos SEGURO. RT @JuanMarin_Cs: Los andaluces votaron cambio el 2D. Por ello, hoy hemos decidido en la #EjecutivaCs que el PSOE debe ir a la oposición y que será Cs, conmigo al frente, quien lidere el cambio que necesita #Andalucía. Abriremos negociación con el PP para que esto suceda. Ahora sí, cambio.</t>
  </si>
  <si>
    <t>EC Cultura</t>
  </si>
  <si>
    <t>Cocinero_hispania</t>
  </si>
  <si>
    <t>Sois una vergüenza @Albert_Rivera @CiudadanosCs por alcanzar el poder actuáis igual que las izquierdas. ¿Sabéis qué significa esa acción? El fin de vuestro partido.</t>
  </si>
  <si>
    <t>http://bit.ly/2QA8MqS</t>
  </si>
  <si>
    <t>https://okdiario.com/espana/andalucia/2018/12/05/cs-amenaza-nuevas-elecciones-andalucia-porque-no-quiere-que-popular-moreno-sea-presidente-3432237</t>
  </si>
  <si>
    <t>cultura(@)elconfidencial.com</t>
  </si>
  <si>
    <t>Somos la sección de Cultura de @elconfidencial. La mejor información sobre #cine, #literatura, #música, #teatro, #arte...</t>
  </si>
  <si>
    <t>http://www.elconfidencial.com/cultura/</t>
  </si>
  <si>
    <t>✝️Cocinero español✝️, mis colores son la roja y gualda, y España mi patria. ¡Arriba España!🇪🇸</t>
  </si>
  <si>
    <t>T.Wildfree</t>
  </si>
  <si>
    <t>C’s pacta con los independentistas y el psoe el reparto de TV3 en Cataluña Yo no se quien será el que aconseje a @Albert_Rivera pero vamos...creo que de C’s no es Porque se están suicidando electoralmente con esto, no hablemos ya del posible pacto con el psoe en Andalucía</t>
  </si>
  <si>
    <t>I’m just Based</t>
  </si>
  <si>
    <t>Rivera ve irresponsable descartar escenarios de pacto, incluido VOX @lavanguardia</t>
  </si>
  <si>
    <t>http://shr.gs/4Yk1ljg</t>
  </si>
  <si>
    <t>Si lo cumplen y hay nuevas elecciones en Andalucía, será el fin de Ciudadanos y de Rivera😡😡😡@MuyLiberal @Albert_Rivera @CiudadanosCs RT @MuyLiberal: C's amenaza con nuevas elecciones en Andalucía porque no quiere que el 'popular' Juanma Moreno sea presidente</t>
  </si>
  <si>
    <t>https://twitter.com/muyliberal/status/1070405899221643266
https://okdiario.com/espana/andalucia/2018/12/05/cs-amenaza-nuevas-elecciones-andalucia-porque-no-quiere-que-popular-moreno-sea-presidente-3432237#.XAgsvQ-ZDdM.twitter</t>
  </si>
  <si>
    <t>Albert Rivera ve su pacto en peligro por el acercamiento del PSOE a Podemos Grave crisis en Podemos 🔊 INDEPENDENCIA – 📡 PROBABLE REPÚBLICA,</t>
  </si>
  <si>
    <t>https://goo.gl/JzNVUu?ajd24=1973158338</t>
  </si>
  <si>
    <t>Vicente Ten</t>
  </si>
  <si>
    <t>❤️@manuelvalls, @InesArrimadas y @Albert_Rivera la valentía de un líder que nos defiende del totalitarismo... Jamás he visto a un afiliado de @CiudadanosCs @CiutadansCs reventando un acto político. Eso sí es ser un demócrata #40AñosDeConstitucion RT @InesArrimadas: Los intolerantes quieren silenciar al partido que ganó las elecciones en Cataluña. Pese a su intento de boicotear nuestro acto en conmemoración de la Constitución, hemos llenado la sala de ilusión. Seguiremos defendiendo la libertad, la igualdad y la unión de todos los españoles</t>
  </si>
  <si>
    <t>https://twitter.com/inesarrimadas/status/1070410382139891714?s=21</t>
  </si>
  <si>
    <t>Infodarte</t>
  </si>
  <si>
    <t>http://dlvr.it/Qsy05j</t>
  </si>
  <si>
    <t>Papá, también Economista, Técnico de Hda.del E°, Diputado XI y XII Legislatura de @CsCongreso por Valencia. Los Grandes Sueños son para los Grandes Equipos!</t>
  </si>
  <si>
    <t>https://pbs.twimg.com/media/Dtt5O7ZU0AEvIX_.jpg</t>
  </si>
  <si>
    <t>https://www.facebook.com/vicente.ten/</t>
  </si>
  <si>
    <t>Magacín de arte. | Art Magazine. http://Instagram.com/infodarte</t>
  </si>
  <si>
    <t>http://www.infodarte.com</t>
  </si>
  <si>
    <t>Continúan las movilizaciones: medio centenar de estudiantes intentan boicotear el acto de @Albert_Rivera en Barcelona al grito de "fuera, fascistas"</t>
  </si>
  <si>
    <t>http://ww.cope.es/ufujo1</t>
  </si>
  <si>
    <t>Vicente Arias</t>
  </si>
  <si>
    <t>Albert Rivera confirmando que pactaría con el diablo por pillar sillón. #LaCafetera40añosDe</t>
  </si>
  <si>
    <t>Más comentados ahora en Derecha/Centro Dcha.: ➀ @Albert_Rivera ↓ ➁ @vox_es ↓ ➂ @InesArrimadas ↓ ➃ @sanchezcastejon ↓ ➄ @ahorapodemos ↓ ➅ @ANDRES_CANO42 ↓ ➆ @ldpsincomplejos ↑ ➇ @manuelvalls ↑ ➈ @Santi_ABASCAL ↓</t>
  </si>
  <si>
    <t>Galiza</t>
  </si>
  <si>
    <t>Benjamin Franklin: “la felicidad humana no se logra con grandes golpes de suerte, que pueden ocurrir pocas veces en la vida, sino con pequeñas cosas que ocurren</t>
  </si>
  <si>
    <t>Bravo Albert,alejar el guerracivilismo es querer una 🇪🇸 del SXXI ,gracias Presidente ⁦@CsLasRozas⁩ ⁦@veroprial⁩ ⁦@MARISALOFERRER⁩ ⁦@barja_oscar⁩</t>
  </si>
  <si>
    <t>https://www.elespanol.com/espana/politica/20181205/rivera-vox-podemos-no-jugar-partido-guerracivilismo/358465296_0.html</t>
  </si>
  <si>
    <t>No será verdad @Albert_Rivera? SI es así, ESTÁS ACABADO. SI TE ALÍAS CON EL MAYOR TRAIDOR DE ESPAÑA, TU PARTIDO SE ACABARÁ. TU DECIDES VELETA. ESPERO QUE NO SEA VERDAD. RT @qqqqetru: ÚLTIMA HORA...Ciudadanos se alía con IGLESIAS.. después de sus actos vandálicos...a RIVERA también se le ha caído la careta!</t>
  </si>
  <si>
    <t>Juan Usategui</t>
  </si>
  <si>
    <t>Que tiernos Susana y Pedro, aconsejando, por su bien, a Albert Rivera, que les siga dejando gobernar en Andalucía Tanta generosidad empalaga</t>
  </si>
  <si>
    <t>Inquieto, desencantado y equivocado</t>
  </si>
  <si>
    <t>Más influyentes ahora en Derecha/Centro Dcha.: ➀ @Albert_Rivera ↓ ➁ @ANDRES_CANO42 ↑ ➂ @ldpsincomplejos ↑ ➃ @juanchoex ↑ ➄ @JosPastr ↑ ➅ @Santi_ABASCAL ↓ ➆ @josepramonbosch ↓ ➇ @elmundoes ↓ ➈ @javiernegre10 ↓</t>
  </si>
  <si>
    <t>Luis Ángel Sanz</t>
  </si>
  <si>
    <t>.@elmundoes publica mañana un suplemento especial por el 40 aniversario de la Constitución con las firmas de @sanchezcastejon, @carmencalvo_, @anapastorjulian, García-Escudero, Carlos Lesmes, @Albert_Rivera, @susanadiaz, @InesArrimadas, @javier_asturias, Zapatero, @RJaureguiA...</t>
  </si>
  <si>
    <t>Luis Serrano B. 🇪🇸 #VivaLaConstitución</t>
  </si>
  <si>
    <t>http://flip.it/zq4fuX</t>
  </si>
  <si>
    <t>Jaén</t>
  </si>
  <si>
    <t>Si quieres que las cosas cambien, empieza por cambiarte a ti mismo. Innovación/Marketing/Comunicación</t>
  </si>
  <si>
    <t>https://www.linkedin.com/in/luisserranobarrie/</t>
  </si>
  <si>
    <t>Periodista. Escribo sobre política en EL MUNDO. Aquí, noticias, opiniones e impresiones muy personales. En Instagr: @Luis_Angel_Sanz / luisangelsanz@hotmail.com</t>
  </si>
  <si>
    <t>http://elmundo.es</t>
  </si>
  <si>
    <t>El País empieza a cortejar a Albert Rivera Trevijano Rivera nunca será un buen político 🌎 Defender la “inconstitucionalidad”, 🗣️ Colocación,</t>
  </si>
  <si>
    <t>https://goo.gl/kQU6U7?akf83=1911986835</t>
  </si>
  <si>
    <t>ZuleimaYepez</t>
  </si>
  <si>
    <t>Otro acoso y obsecion a @Albert_Rivera @manuelvalls @InesArrimadas. Los responsable políticos de estas hordas fascistas @AdaColau @QuimTorraiPla pueden poner orden en este caos RT @jordi_canyas: 40 años de Constitución que nos recuerdan día a día que el totalitarismo y el fascismo sigue vivo en Cataluña. Acosan, intimidan, amenazan e intentan impedir la libertad política y de opinión, pero no lo conseguirán. Serán derrotados. Volverán a su fosa séptica ética y moral.</t>
  </si>
  <si>
    <t>Soy Consultora de Formación. Diplomada en Empresariales.</t>
  </si>
  <si>
    <t>Jenuri</t>
  </si>
  <si>
    <t>Rivera ve irresponsable. Rivera ve irresponsable. Rivera ve irresponsable. Rivera ve irresponsable. Rivera ve irresponsable. Rivera ve irresponsable. Rivera ve irresponsable. Rivera ve irresponsable. Rivera ve irresponsable. Rivera ve irresponsable.</t>
  </si>
  <si>
    <t>https://www.lavanguardia.com/politica/20181205/453377887754/ciudadanos-albert-rivera-prioriza-pacto-pp-andalucia-irresponsable-descartar-vox-santiago-abascal.html</t>
  </si>
  <si>
    <t>origen y destino</t>
  </si>
  <si>
    <t>Periodista. Nunca ejercí. La vocación no paga hipotecas. Me desahogo en el Blog:elcuarticopoder. Me tapo la nariz para pagar impuestos; no para votar o escribir</t>
  </si>
  <si>
    <t>Ciutadans Barcelona</t>
  </si>
  <si>
    <t>https://elcuarticopoder.blogspot.com</t>
  </si>
  <si>
    <t>📷 Nuestros regidores han acudido esta tarde al acto en Barcelona con @Albert_Rivera, @InesArrimadas y @manuelvalls para celebrar los 40 años de constitucionalismo #40AñosDeConstitución</t>
  </si>
  <si>
    <t>Emili Avilés ن</t>
  </si>
  <si>
    <t>Defender y actualizar nuestra #Constitución...  vía @20m #40AñosDeConstitución #Constitucion40 #Constitucio #EspañaViva</t>
  </si>
  <si>
    <t>https://pbs.twimg.com/media/DtrnIVFWkAEMiiT.jpg</t>
  </si>
  <si>
    <t>https://www.20minutos.es/noticia/3508559/0/albert-rivera-defender-nuestra-constitucion/?utm_source=twitter.com&amp;utm_medium=socialshare&amp;utm_campaign=mobile_amp</t>
  </si>
  <si>
    <t>Pare de família nombrosa. Mestre i articulista. Barcelona-Catalunya-Espanya. RT ≠ aprobación</t>
  </si>
  <si>
    <t>Perfil oficial de Ciutadans (Cs) Barcelona ciudad. Treballem per millorar Barcelona. Trabajamos para ti. #MejorUnidos</t>
  </si>
  <si>
    <t>Cs Pineda de Mar</t>
  </si>
  <si>
    <t>👉 El Liceo, abarrotado; todo un éxito el acto de @Albert_Rivera, @InesArrimadas y @manuelvalls . Nosotros seguiremos acompañándoles pese a las amenazas de los intolerantes #NoNosCallarán</t>
  </si>
  <si>
    <t>https://pbs.twimg.com/media/Dtrm2YiWoAANk2r.jpg</t>
  </si>
  <si>
    <t>Pineda de Mar</t>
  </si>
  <si>
    <t>Perfil oficial Ciutadans (Cs) Pineda de Mar🍊 Ciudadanos Pineda de Mar 👉🏻Contacta con nosotros: Pineda.mar@ciudadanos-cs.org</t>
  </si>
  <si>
    <t>C's Sitges</t>
  </si>
  <si>
    <t>🧡 Acto de #40AñosDeConstitución⁠ ⁠ junto a @Albert_Rivera, @InesArrimadas y @manuelvalls en el Liceu de Barcelona.</t>
  </si>
  <si>
    <t>https://pbs.twimg.com/media/DtrlhLSWsAMhqlo.jpg</t>
  </si>
  <si>
    <t>Sitges</t>
  </si>
  <si>
    <t>Perfil Oficial. Partit polític progressista, sorgit d'un moviment de ciutadans que volen regenerar la política espanyola redes.sitges@ciudadanos-cs.org</t>
  </si>
  <si>
    <t>Jesús Carrasquilla</t>
  </si>
  <si>
    <t>Si @Albert_Rivera pacta en #andalucia. Con la extrema derecha desde luego se puede olvidar de mis votos para @AlfonsoRSanchez , para @ignacioaguado y para el mismo en las nacionales. Como se han torcido para ser de centro como decían</t>
  </si>
  <si>
    <t>Alcorcón</t>
  </si>
  <si>
    <t>Animalista con cabeza. Odio el radicalismo y los ideales políticos. #livingforagility</t>
  </si>
  <si>
    <t>CARMEN F.H</t>
  </si>
  <si>
    <t>Que ridículo es Albert Rivera ¿ Que hace grabando a los que les increpan?? Los va a denunciar? Es patético hasta decir basta ,da vergüenza ajena ver a un politicucho hacer eso</t>
  </si>
  <si>
    <t>Guillermo Díaz</t>
  </si>
  <si>
    <t>Y hoy no termino el día sin enviar un abrazo a tres personas que representan la España que quiero: @manuelvalls, @InesArrimadas y @Albert_Rivera El último lleva desde 2006 haciendo frente al totalitarismo. Es el principal problema de los enemigos de la libertad de todo signo. RT @InesArrimadas: Los intolerantes quieren silenciar al partido que ganó las elecciones en Cataluña. Pese a su intento de boicotear nuestro acto en conmemoración de la Constitución, hemos llenado la sala de ilusión. Seguiremos defendiendo la libertad, la igualdad y la unión de todos los españoles</t>
  </si>
  <si>
    <t>Diputado en el Congreso por Málaga. En Ciudadanos.</t>
  </si>
  <si>
    <t>Santiago Alonso</t>
  </si>
  <si>
    <t>Celebramos el aniversario de la Constitución española, que nos libró de una dictadura y nos ha traído 40 años de libertades. Interesante debate entre @Albert_Rivera, @InesArrimadas y @manuelvalls sobre sus valores y los retos futuros #40AñosDeConstitución</t>
  </si>
  <si>
    <t>https://pbs.twimg.com/media/DtrklRWXQAI2yUK.jpg</t>
  </si>
  <si>
    <t>Concejal de @CiutadansBCN en @bcn_ajuntament. Presidente del consejo de distrito de @bcn_noubarris. Portavoz CS en Área Metropolitana Barcelona</t>
  </si>
  <si>
    <t>http://ayuntamiento-barcelona.ciudadanos-cs.org/</t>
  </si>
  <si>
    <t>Francis Rubio Gómez</t>
  </si>
  <si>
    <t>“Sr Sánchez, asuma la realidad: los andaluces le han dado la espalda a su alianza con todos los que quieren liquidar España. Y si sigue por el mismo camino, pronto se la darán todos los españoles. No todo vale” @Albert_Rivera</t>
  </si>
  <si>
    <t>https://pbs.twimg.com/media/DtrkCLOWsAkN5n8.jpg</t>
  </si>
  <si>
    <t>Ciudadanos Cs</t>
  </si>
  <si>
    <t>Ivan AF</t>
  </si>
  <si>
    <t>Una Constitución ejemplar para el resto del mundo.  @Albert_Rivera</t>
  </si>
  <si>
    <t>Técnico de RRHH en 🚔|Graduado en Gestión y Administración Pública por la @UB_endirecte Máster en Análisis del Económico en @UOCuniversitat 🎓🎓|En @Cs_Abrera</t>
  </si>
  <si>
    <t>Ilham Khrourouch</t>
  </si>
  <si>
    <t>Será gracioso ver a @manuelvalls y a @Albert_Rivera aclararse.</t>
  </si>
  <si>
    <t>Educación social. Activista social. Antifeixista/Antifascista.</t>
  </si>
  <si>
    <t>Jorge Urreta</t>
  </si>
  <si>
    <t>indepeinlove</t>
  </si>
  <si>
    <t>Tráeme la cabeza de Albert Rivera: la gran broma del Museo de Cera no es lo que crees  via @elconfidencial</t>
  </si>
  <si>
    <t>Querid@ @jcuixart no puedo vivir sin tí... Esta canción es para ti. Att. @Albert_Rivera</t>
  </si>
  <si>
    <t>http://dlvr.it/Qsxtb5</t>
  </si>
  <si>
    <t>https://pbs.twimg.com/media/Dttv2WPU0AAnp5p.jpg</t>
  </si>
  <si>
    <t>http://bit.ly/1bOn9hM</t>
  </si>
  <si>
    <t>Asturias / Vizcaya</t>
  </si>
  <si>
    <t>Incansable #escritor de novelas de intriga. ¿Lo último? Venganza (@libroscom) http://jorgeurreta.com</t>
  </si>
  <si>
    <t>http://www.jorgeurreta.com</t>
  </si>
  <si>
    <t>Cs Roquetas de Mar</t>
  </si>
  <si>
    <t>🔝@Albert_Rivera : 'El presidente de la Junta debe ser limpio, con capacidad de diálogo y que no pare de crecer' ⬆️</t>
  </si>
  <si>
    <t>https://www.ciudadanos-cs.org/prensa/rivera-el-presidente-de-la-junta-debe-ser-limpio-con-capacidad-de-dialogo-y-que-no-pare-de-crecer/11142</t>
  </si>
  <si>
    <t>https://pbs.twimg.com/media/DtrhVlCWsAwu3Sx.jpg</t>
  </si>
  <si>
    <t>Roquetas de Mar (Almería)</t>
  </si>
  <si>
    <t>Perfil Oficial en Twitter de Ciudadanos Roquetas de Mar - Partido de la Ciudadanía.</t>
  </si>
  <si>
    <t>http://roquetasdemar.ciudadanos-cs.org/</t>
  </si>
  <si>
    <t>𝔸𝕣𝕖𝕫𝕟𝕠</t>
  </si>
  <si>
    <t>Espe</t>
  </si>
  <si>
    <t>Huele al discursito de Albert Rivera pre-trincar sillones. RT @pepeonet: Vox rechaza cargos en el Gobierno andaluz pero pide a PP y Ciudadanos devolver las competencias en Sanidad y Educación y el cierre de Canal Sur "Nuestra pelea no va a ser por ver quién se sienta en los sillones", sino por las "ideas":Santiago Abascal  "</t>
  </si>
  <si>
    <t>Ha sido un placer escuchar esta tarde a @InesArrimadas @Albert_Rivera y @manuelvalls en el acto de celebración de #40añosdeConstitución en compañía de muchos amigos y compañeros de Cs A pesar del intento de intimidar de los intolerantes, el acto ha sido un éxito. RT @JavierEdrosa: Abarrotado al Auditorio del Conservatorio del Liceu para celebrar los #40AñosDeConstitución con @InesArrimadas @Albert_Rivera y @manuelvalls a pesar de los intolerantes que querían boicotear el acto, nosotros les respondemos con ➕libertad, ➕igualdad y ➕convivencia! #Seguimos</t>
  </si>
  <si>
    <t>https://twitter.com/pepeonet/status/1070570775336402945
https://m.eldiario.es/_32402d47</t>
  </si>
  <si>
    <t>https://twitter.com/JavierEdrosa/status/1070405885661458432</t>
  </si>
  <si>
    <t>https://pbs.twimg.com/media/DtrYVnfWwAEjToe.jpg</t>
  </si>
  <si>
    <t>En la inopia</t>
  </si>
  <si>
    <t>No respondo, solo BLOCK. Tengo un Galaxy Note 9 y una Galaxy Tab S4 LTE y tú no.</t>
  </si>
  <si>
    <t>https://www.instagram.com/arezno/</t>
  </si>
  <si>
    <t>Militante activa y convencida de Cs en la agrupación Horta-Guinardó de Barcelona, porque no nací para callarme mientras me pisan mis derechos. 💪💪💪🍊🍊🍊</t>
  </si>
  <si>
    <t>Luis Angel Jimenez</t>
  </si>
  <si>
    <t>Si, si @CiudadanosCs amenaza con nuevas elecciones en Andalucia, verás como sales escaldado con los votos, sois los que más vais a perder @Albert_Rivera RT @okdiario: C’s amenaza con nuevas elecciones en Andalucía porque no quiere que el ‘popular’ Moreno sea presidente</t>
  </si>
  <si>
    <t>https://twitter.com/okdiario/status/1070404817271562241
https://okdiario.com/espana/andalucia/2018/12/05/cs-amenaza-nuevas-elecciones-andalucia-porque-no-quiere-que-popular-moreno-sea-presidente-3432237?utm_term=Autofeed&amp;utm_campaign=ok&amp;utm_medium=Social&amp;utm_source=Twitter#Echobox=1544039369</t>
  </si>
  <si>
    <t>Valladolid</t>
  </si>
  <si>
    <t>Aficionado a la Bolsa.</t>
  </si>
  <si>
    <t>Jose A Méndez Moreno</t>
  </si>
  <si>
    <t>Veo el boicot a @Albert_Rivera, @InesArrimadas, @manuelvalls y @JosepBorrellF en actos a favor a la #ConstitucionEspañola Veo la quema d contenedores y los destrozos en Andalucia contra @vox_es Y veo claro q los auténticos Fascistas son aquellos q autoproclaman #Antifascistas</t>
  </si>
  <si>
    <t>https://pbs.twimg.com/media/DtrgcrxWsAEFRFP.jpg</t>
  </si>
  <si>
    <t>Gipuzkoa, País Vasco</t>
  </si>
  <si>
    <t>Cuenta #oficial del Presidente Nacional de ASIGC-PROFESIONAL #TodoAsigcEsJ de #Jusapol #EquiparacionYa #TEDAX #ProhibidoRendirse #GuardiaCivil #NoMasSilencio</t>
  </si>
  <si>
    <t>http://www.asigc-profesional.org/</t>
  </si>
  <si>
    <t>Cs Gavà</t>
  </si>
  <si>
    <t>📢 @MAngel_Ibanez @FcoGavilanP y @cgajenjo han asistido esta tarde al acto de conmemoración de los #40añosdeConstitución que se ha celebrado en el #Liceu con @Albert_Rivera @InesArrimadas y @manuelvalls 👉 Es necesario apelar a los valores de la #Constitucion40 #NoNosCallarán</t>
  </si>
  <si>
    <t>https://pbs.twimg.com/media/Dtrf4fCWkAAi3Oh.jpg</t>
  </si>
  <si>
    <t>Racle7</t>
  </si>
  <si>
    <t>Albert Rivera priorizará negociar con el PP en Andalucía y no descarta que Vox entre en el Gobierno</t>
  </si>
  <si>
    <t>http://a.msn.com/01/es-es/BBQwg6d?ocid=st</t>
  </si>
  <si>
    <t>Gavá, Cataluña, España</t>
  </si>
  <si>
    <t>http://gava.ciudadanos-cs.org/</t>
  </si>
  <si>
    <t>Si apestas a separatista,rojo antipatriota o persona de mal vivir,no te acerques a mi.A veces NO COMPARTO lo que retuiteo.Orgulloso de ser ESPAÑOL.</t>
  </si>
  <si>
    <t>Todos los líderes políticos podían empezar a reflexionar sobre lo que están haciendo catalizando ansiedades, desencantos y movimientos de masas que quizá mañana no puedan controlar cc @Pablo_Iglesias_ @sanchezcastejon @pablocasado_ @Albert_Rivera</t>
  </si>
  <si>
    <t>Albert Rivera priorizará negociar con el PP en Andalucía y no descarta que Vox entre en el Gobierno  ¡¡¡ Cómo no puede ser de otra manera.....!!!</t>
  </si>
  <si>
    <t>Lo de @Albert_Rivera grabando con el móvil a los chavales qué en su escuela se manifestaban contra el fascismo es un acto de chulería innecesaria qué solo buscaba empeorar la situación ya que si necesitaba las imágenes para algo estaban las tvs. #elintermedio @MVTARDE</t>
  </si>
  <si>
    <t>Pablo Hernández</t>
  </si>
  <si>
    <t>Muy bien @manuelvalls en su opinión de no pactar con radicales .... mal @Albert_Rivera incluso en plantear la idea. Creo que @CiudadanosCs debe dejar clara su postura centro #Opino 💁🏻‍♂️</t>
  </si>
  <si>
    <t>#EleccionesAndalucía 👉 Albert_Rivera ve irresponsable «descartar» escenarios de pacto, incluido con vox_es.</t>
  </si>
  <si>
    <t>https://pbs.twimg.com/media/DttmtPIX4AAkBaZ.jpg</t>
  </si>
  <si>
    <t>Publicista y PR, Emprendedor, Co fundador de Reig &amp; Schmulson PR. Judio 🇮🇱 amante de la Moda, Música, Cine, Astronomía, weather man y manga lover! Friki 🦄</t>
  </si>
  <si>
    <t>http://www.reigandschmulson.com</t>
  </si>
  <si>
    <t>sergi</t>
  </si>
  <si>
    <t>Que alguien le diga a @Albert_Rivera que se graba en horizontal, plz.</t>
  </si>
  <si>
    <t>young g designer</t>
  </si>
  <si>
    <t>Albert Rivera, en su papel de mediador, se cree con derecho de ser Presidente del Gobierno 🔉 EL DRAMA DE LA LIBERTAD, ☑️ Alzamiento,</t>
  </si>
  <si>
    <t>https://goo.gl/UhJ5p3?raf51=5684458807</t>
  </si>
  <si>
    <t>Aramalo</t>
  </si>
  <si>
    <t>Que dice el Cis de @sanchezcastejon que el @PSOE saca mayoría absoluta pues venga @pnique @Pablo_Iglesias_ @gabrielrufian @Albert_Rivera @agarzon echarle huevos</t>
  </si>
  <si>
    <t>Las imágenes de los independentistas intentando reventar el acto de @Albert_Rivera en #Barcelona con las que está abriendo @informativost5 nos avisan que este país está cada vez más cerca de un nuevo enfrentamiento civil. No hemos aprendido nada de nuestra Historia.</t>
  </si>
  <si>
    <t>Lourdes</t>
  </si>
  <si>
    <t>Miro hacia la izquierda; nervios, desánimo... Miro hacia la derecha; nervios, desánimo... Miro a Albert Rivera; claridad, ilusión, seriedad, coherencia, responsabilidad, certeza y fiabilidad. Cs lidera el cambio. Y está claro. #PolíticaÚtilCs 🍊🍊🍊💪💪💪</t>
  </si>
  <si>
    <t>Ibi, España</t>
  </si>
  <si>
    <t>AlterEgo</t>
  </si>
  <si>
    <t>Y en resumen @CiudadanosCs hoy: Barcelona esta mañana... @manuelvalls “no vamos a pactar con @vox_es “ Barcelona esta tarde... @Albert_Rivera “no descartamos pacto de coalición o de gobierno...”</t>
  </si>
  <si>
    <t>pic.twitter.com/H0bl5heJLI</t>
  </si>
  <si>
    <t>La irreverencia es el recurso de la ironía en movimiento.</t>
  </si>
  <si>
    <t>Diego de Torres</t>
  </si>
  <si>
    <t>Los que escracharon ayer las calles y plazas andaluzas, son exactamente los mismos que hoy intentaron boicotear un acto #40AñosDeConstitución⁠ ⁠⁠ en Barcelona con @InesArrimadas, @manuelvalls y @Albert_Rivera ...y luego te dicen que el facha eres tú...</t>
  </si>
  <si>
    <t>https://twitter.com/Albert_Rivera/status/1070389685795598337/video/1</t>
  </si>
  <si>
    <t>Hace tiempo estaba indeciso, pero ahora ya no estoy tan seguro. A todo el que te pida, dale (San Lucas, 6:30). Ciudadano.</t>
  </si>
  <si>
    <t>Albert rivera se esta haciendo como el PSOE y podemos. Destructores de España.</t>
  </si>
  <si>
    <t>penolopeenmadrid</t>
  </si>
  <si>
    <t>Los grupos ultra se van uniendo, fue @Albert_Rivera con los policias anti democráticos de @jusapol, @vox_es se empotran con los policias fascistas, que esto, no es un totum revoltón que son la ultra derecha unida para someter a su dictadura.</t>
  </si>
  <si>
    <t>https://www.publico.es/politica/exclusiva-extrema-derecha-policial-vox-infiltro-jusapol-sectores-ultra-policia-apoyaron-despegue-electoral.html</t>
  </si>
  <si>
    <t>No a la represión y la dictadura del PP</t>
  </si>
  <si>
    <t>caverna cúbica</t>
  </si>
  <si>
    <t>Si Albert Rivera pacta con la extrema derecha, su discurso machacón contra Pedro Sánchez y su apoyo, que no más, en partidos de extrema izquierda, indepes y etarras se vuelve en su contra. HIPÓCRITA MENTIROSO!!!</t>
  </si>
  <si>
    <t>Abascal: .@pablocasado_ es la “derechita cobarde” y .@Albert_Rivera “un toro manso"</t>
  </si>
  <si>
    <t>Pienso, hablo, escucho, miro, vivo... y pinto 'por amor al arte'</t>
  </si>
  <si>
    <t>http://www.sergiocases-artstudio.com</t>
  </si>
  <si>
    <t>https://www.elplural.com/politica/abascal-casado-es-la-derechita-cobarde-y-rivera-un-toro-manso_207592102</t>
  </si>
  <si>
    <t>DE VALLEKAS</t>
  </si>
  <si>
    <t>CambioAMejor</t>
  </si>
  <si>
    <t>La tele de Rosa Maria Mateo manipula en los titulares la frase de @Albert_Rivera diciendo que sería una irresponsabilidad no descartar ningun pacto y ellos lo relacionan con VOX, ni rastro en titulares del boicot indepe en el Liceo</t>
  </si>
  <si>
    <t>El liberalismo es la base de la democracia por eso #yosoyciudadano y de Ciudadanos Combato con dureza el independentismo y la extrema izquierda</t>
  </si>
  <si>
    <t>Libre Diario Digital</t>
  </si>
  <si>
    <t>Pablo Iglesias, Albert Rivera, Joan Tardà y Ana Oramas, candidatos al al Mejor orador del Parlamento</t>
  </si>
  <si>
    <t>Si esto es verdad @InesArrimadas y @Albert_Rivera tendríais que dar muchas explicaciones</t>
  </si>
  <si>
    <t>http://www.librediariodigital.net/texto-diario/mostrar/1273428/pablo-iglesias-albert-rivera-joan-tard-ana-oramas-candidatos-mejor-orador-parlamento</t>
  </si>
  <si>
    <t>https://amp.elmundo.es/cataluna/2018/12/05/5c07ea1bfdddffd5598b4752.html</t>
  </si>
  <si>
    <t>Ventana abierta a la Información. Medio Digital 3.0 hecho en Canarias para el Mundo.</t>
  </si>
  <si>
    <t>http://www.librediariodigital.net/</t>
  </si>
  <si>
    <t>enric feliu blanch</t>
  </si>
  <si>
    <t>Valls riñe a Rivera por abrir la puerta a Vox y le reclama que no haga pactos "ni con el populismo ni con el separatismo" Albert Rivera replica que los votantes les están pidiendo que gobiernen y evita excluir a Vox del "gran bloque constitucionalista"</t>
  </si>
  <si>
    <t>Cs amenaza con nuevas elecciones en Andalucía porque no quiere que el 'popular' Moreno sea presidente  Sería un grave error forzar nuevas elecciones. @Albert_Rivera @CiudadanoVille</t>
  </si>
  <si>
    <t>https://okdiario.com/espana/andalucia/2018/12/05/cs-amenaza-nuevas-elecciones-andalucia-porque-no-quiere-que-popular-moreno-sea-presidente-3432237#.XAgvfG5FIwk.twitter</t>
  </si>
  <si>
    <t>https://m.eldiario.es/catalunya/politica/Valls-Rivera-Vox-populismo-separatismo_0_843066684.html</t>
  </si>
  <si>
    <t>Lliure pensador (o sigui que penso el que em dona la gana) , grouchista marxista , i m'agrada John Ford i Porco Rosso..soc complicat</t>
  </si>
  <si>
    <t>Tiene mucho sentido que @Albert_Rivera quiera contar con @Vox en los pactos en Andalucía y toda España, a fin de cuentas @CiudadanosCs es un partido de extrema derecha y @santi_Abascal y Rivera dos ultras filo terroristas.</t>
  </si>
  <si>
    <t>https://www.publico.es/politica/rivera-considera-irresponsable-descartar-vox-escenarios-pacto-andalucia.html</t>
  </si>
  <si>
    <t>D verdad @Albert_Rivera está contando con el @psoeandalucia para formar gobierno y está dispuesto a no formar gobierno por su afán d poder con el @ppandaluz?Le recuerdo q ha quedado 3 y su obligación es abogar por el cambio como decía en campaña!Por supuesto contando con @vox_es</t>
  </si>
  <si>
    <t>Albert Rivera en VI Escuela de Verano DENAES 2012 🗣️ EL DRAMA DE LA LIBERTAD,</t>
  </si>
  <si>
    <t>https://youtu.be/V9YYQDqha-Q?mgs28=298368420</t>
  </si>
  <si>
    <t>Más comentados ahora en Derecha/Centro Dcha.: ➀ @Albert_Rivera ↑ ➁ @InesArrimadas ↑ ➂ @vox_es ↑ ➃ @manuelvalls ↓ ➄ @sanchezcastejon ↓ ➅ @juanchoex ↓ ➆ @ANDRES_CANO42 ↑ ➇ @GirautaOficial ↑↑ ➈ @ahorapodemos ↑</t>
  </si>
  <si>
    <t>Más influyentes ahora en Derecha/Centro Dcha.: ➀ @Albert_Rivera ↑↑ ➁ @juanchoex ↓ ➂ @ANDRES_CANO42 ↑ ➃ @GirautaOficial ↑↑ ➄ @CiudadanosCs ↑↑ ➅ @ldpsincomplejos ↓ ➆ @josepramonbosch ↓ ➇ @JosPastr ↓ ➈ @Santi_ABASCAL</t>
  </si>
  <si>
    <t>Luis Leonardo Villalba</t>
  </si>
  <si>
    <t>https://okdiario.com/espana/andalucia/2018/12/05/rivera-dispuesto-pacto-pp-sin-descartar-vox-pero-marin-presidente-3430883?utm_campaign=ok&amp;utm_medium=Social&amp;utm_source=Facebook#Echobox=1544015499</t>
  </si>
  <si>
    <t>Xavier Erausquin</t>
  </si>
  <si>
    <t>Caracas</t>
  </si>
  <si>
    <t>¡Gran conversación de @manuelvalls con @InesArrimadas y @Albert_Rivera para celebrar los 40 años de la Constitución Española!</t>
  </si>
  <si>
    <t>LA TIRANÍA NO PUEDE DERROTAR EL PODER DE LAS IDEAS.</t>
  </si>
  <si>
    <t>https://pbs.twimg.com/media/DtraBL7XgAYlCvk.jpg</t>
  </si>
  <si>
    <t>Mitad catalán, mitad vasco y por tanto doblemente español. | Jurista y economista. | Enamorado de Barcelona.</t>
  </si>
  <si>
    <t>Payaso Con Tituló 📜📄</t>
  </si>
  <si>
    <t>Los inocentes @CiudadanosCs no sabe tomarse el toro por los cuernos y sus votantes alucinan con el posible pacto con @psoedeandalucia Si no sabes torear pa que te metes @Albert_Rivera</t>
  </si>
  <si>
    <t>ALBERT RIVERA denota que PROCEDE del PP mas CONSERVADOR 🔈 Noticias, ✔️ PRINCIPIO DE INDIVIDUACIÓN,</t>
  </si>
  <si>
    <t>https://pbs.twimg.com/media/DtrZxJzWsAISDCJ.jpg</t>
  </si>
  <si>
    <t>https://goo.gl/7eQaCN?nhx17=2648525078</t>
  </si>
  <si>
    <t>Circo de la vida Heaven &amp; Hell</t>
  </si>
  <si>
    <t>Me lo saqué con Franco como Gurruchaga Viaje 🛴🚲con nosotros si quiere gozar y disfrute #TituloCumFraude #GibraltarBienGracias</t>
  </si>
  <si>
    <t>David Labrador</t>
  </si>
  <si>
    <t>Un honor escuchar a @Albert_Rivera @InesArrimadas y @manuelvalls defender nuestra #ConstitucionEspañola</t>
  </si>
  <si>
    <t>https://pbs.twimg.com/media/DtrZfZ5WsAAlqgP.jpg</t>
  </si>
  <si>
    <t>Barcelona, Catalunya, España</t>
  </si>
  <si>
    <t>Conseller de @CiutadansBCN en el Distrito de Sants-Montjuïc (Barcelona). Licenciado en Historia. Afiliado a @CiudadanosCs desde la creación del partido.</t>
  </si>
  <si>
    <t>Raquel</t>
  </si>
  <si>
    <t>Pues @JuanMarin_Cs y @Albert_Rivera unas nuevas elecciones y vais a caer a nivel Nacional, esto os lo dice una Andaluza... ¿Para cuándo hay que ir a votar? RT @NicoleP34312553: C's amenaza con nuevas elecciones en Andalucía porque no quiere que el 'popular' Moreno sea presidente</t>
  </si>
  <si>
    <t>https://twitter.com/NicoleP34312553/status/1070406286813081603
https://okdiario.com/espana/andalucia/2018/12/05/cs-amenaza-nuevas-elecciones-andalucia-porque-no-quiere-que-popular-moreno-sea-presidente-3432237#.XAgtJIr85J0.twitter</t>
  </si>
  <si>
    <t>Isla Perejil</t>
  </si>
  <si>
    <t>Hakuna Matata</t>
  </si>
  <si>
    <t>XxAlexcsxX</t>
  </si>
  <si>
    <t>I liked a @YouTube video  "Los hombres tenemos que luchar CONTRA las mujeres" El lapsus de Albert Rivera</t>
  </si>
  <si>
    <t>http://youtu.be/gOQySy_ne5w?a</t>
  </si>
  <si>
    <t>Miguel Angel Ramos</t>
  </si>
  <si>
    <t>Curiosa la imagen del Liceo de Barcelona,un boicot de independentistas y en primera plana una ciudadana china...Esta que pide la indepencia del barrio chino de la ciudad de Barcelona??Ánimo @CiudadanosCs,mucho ánimo @Albert_Rivera e @InesArrimadas sois el futuro de este país.</t>
  </si>
  <si>
    <t>Si has entrado aquí es que tu mierda de vida te hace interesarte por personas de mierda como yo. PUTO</t>
  </si>
  <si>
    <t>JavierE</t>
  </si>
  <si>
    <t>Abarrotado al Auditorio del Conservatorio del Liceu para celebrar los #40AñosDeConstitución con @InesArrimadas @Albert_Rivera y @manuelvalls a pesar de los intolerantes que querían boicotear el acto, nosotros les respondemos con ➕libertad, ➕igualdad y ➕convivencia! #Seguimos</t>
  </si>
  <si>
    <t>Coordinador de la agrupación @CsHortaGuinardo Conseller de Cs en el Distrito de Horta-Guinardó 3, 9, 25, 36</t>
  </si>
  <si>
    <t>Patricia Reyes</t>
  </si>
  <si>
    <t>Aquí los fascistas, los que sostienen las pancartas. Cuanto más gritéis, más saldremos a defender nuestra libertad. Todo mi apoyo para @Albert_Rivera, @InesArrimadas y @manuelvalls RT @CiudadanosCs: 👉 Un grupo de intolerantes pretende silenciar al partido que ganó las elecciones en Cataluña, haciendo un escrache en nuestro acto conmemorativo del 40 aniversario de la Constitución. 💪 Ante sus gritos e insultos #NoNosCallarán</t>
  </si>
  <si>
    <t>https://twitter.com/ciudadanoscs/status/1070373724866707457</t>
  </si>
  <si>
    <t>D. Castell</t>
  </si>
  <si>
    <t>Albert Rivera priorizará negociar con el PP en Andalucía y no descarta que Vox entre en el Gobierno  Es la mejor noticia de hoy Ojala que los 3 partidos lleguen a un acuerdo y den a los andaluces seguridad, calidad de vida, menos impuestos y trabajo</t>
  </si>
  <si>
    <t>pic.twitter.com/OWTEmkoM73</t>
  </si>
  <si>
    <t>Aprendiendo siempre. Quien ama de verdad lo hace en silencio, con hechos, y nunca con palabras.</t>
  </si>
  <si>
    <t>Madre-Abogada-Responsable Mujer/LGTBI Ejecutiva Cs-Diputada y Secretaria 4 de la Mesa del Congreso - Canaria nacida en Madrid - Adoro a Capra y a Marx (Groucho)</t>
  </si>
  <si>
    <t>pic.twitter.com/Xvdi5iZopd</t>
  </si>
  <si>
    <t>Otríadas 🇪🇺</t>
  </si>
  <si>
    <t>El separatismo y el comunismo son criticables, no censurables; no en la democracia europea. Sánchez, ha aportado serenidad, en un momento de tensión; falta hace. Censurable es el fascismo. Y @Albert_Rivera está haciendo manitas con la bestia. @guyverhofstadt no da crédito. RT @LolaZapater1: Qué moderación ni que , él que está con todo lo peor de los políticos 🤢</t>
  </si>
  <si>
    <t>https://twitter.com/LolaZapater1/status/1070381342846828545
https://twitter.com/Otriadas/status/1070056424829534208</t>
  </si>
  <si>
    <t xml:space="preserve">Badajoz </t>
  </si>
  <si>
    <t>Los enemigos no son peligrosos, nuestras debilidades nos amenazan. #UE #Federalismo #MinisterioDeLaMasculinidad #CosiendoElSocialismo #CosiendoHeridasMoradas.</t>
  </si>
  <si>
    <t>Hugo Ross. Cs</t>
  </si>
  <si>
    <t>Hoy tres valientes @Albert_Rivera, @InesArrimadas y @manuelvalls han ido a Barcelona a defender los valores constitucionales. 👏👏👏Ha sido un gran gran debate. #EspañaNaranja #Ciudadanos 💪🍊 RT @CiudadanosCs: 📽 @manuelvalls "Vivimos momentos muy difíciles en Europa. El populismo que va en contra de la libertad y de la democracia está está ganando terreno. Gracias a la Constitución tenemos garantía de libertad, igualdad y de convivencia en España" #40añosdeConstitución</t>
  </si>
  <si>
    <t>https://twitter.com/CiudadanosCs/status/1070392761881378817</t>
  </si>
  <si>
    <t>pic.twitter.com/swIEzAv581</t>
  </si>
  <si>
    <t>Estudiante en IESIDE | Afiliado @CsVigo | @JcsGalicia</t>
  </si>
  <si>
    <t>Jordi Obón</t>
  </si>
  <si>
    <t>Escuchando a @InesArrimadas @manuelvalls y @Albert_Rivera Han intentando boicotearnos pero nunca nos callarán, ni nos quitarán la libertad #NoNosCallaran #40añosdeconstitucion</t>
  </si>
  <si>
    <t>https://pbs.twimg.com/media/DtrVG8kWoAIwRMH.jpg</t>
  </si>
  <si>
    <t>Administrador de sistemas informáticos. Adjunto de la secretaria de @jovenescs en Cataluña. Conseller de @CiutadansBCN al districte de Sant Andreu de Barcelona</t>
  </si>
  <si>
    <t>http://jordiobon.es</t>
  </si>
  <si>
    <t>@RosiRojas.</t>
  </si>
  <si>
    <t>Hoy en Barcelona,hemos vuelto a ver la cara de los nacionalistas, separatistas, en un acto por la Constitución con@Albert Rivera@ Inés Arrimadas@ Manuel Valls. Juventud con mirada llena y alimentada de odio, nos boicotean NUESTRA LIBERTAD DE EXPRESION.Realmete peligrosos</t>
  </si>
  <si>
    <t>pic.twitter.com/iIqtsKnp30</t>
  </si>
  <si>
    <t>Europa Press Catalunya</t>
  </si>
  <si>
    <t>.@Albert_Rivera asegura que "la mejor reforma de la Constitución es aplicarla" y pide consensos</t>
  </si>
  <si>
    <t>@Coordinadora Cs Almacelles</t>
  </si>
  <si>
    <t>https://www.europapress.es/catalunya/noticia-albert-rivera-asegura-mejor-reforma-constitucion-aplicarla-pide-consensos-20181205203822.html</t>
  </si>
  <si>
    <t>Twitter oficial de la agencia de noticias Europa Press de Catalunya</t>
  </si>
  <si>
    <t>http://www.europapress.es/catalunya/</t>
  </si>
  <si>
    <t>Francisco Muñoz</t>
  </si>
  <si>
    <t>Un honor estar hoy como Regidor Portavoz de @CsMollet en el acto conmemorativo de 40 años de Constitucionalismo con @InesArrimadas @Albert_Rivera y @manuelvalls</t>
  </si>
  <si>
    <t>https://pbs.twimg.com/media/DtrUwttW4AE6VMx.jpg</t>
  </si>
  <si>
    <t>Concejal Portavoz del Grupo Municipal de @CsMollet</t>
  </si>
  <si>
    <t>Carmen Benavides</t>
  </si>
  <si>
    <t>Y aquí @Albert_Rivera Dispuesto a estudiar el cierre de @canalsur. Claro que igual @Cs_Andalucia no está tan de acuerdo pero no lo sabemos porque no dicen ni mu. RT @Lacarreter: A ver, Rivera, que no me entero bien. Y esto?: El independentismo ultima un pacto con Ciudadanos y PSC para dirigir TV3 y Catalunya Ràdio  vía @el_pais</t>
  </si>
  <si>
    <t>https://twitter.com/Lacarreter/status/1070390330279821312
https://elpais.com/ccaa/2018/12/05/catalunya/1544016361_262121.html?id_externo_rsoc=TW_CC</t>
  </si>
  <si>
    <t>Espartinas, Sevilla, España</t>
  </si>
  <si>
    <t>Periodista. Trabajo en @CanalSur</t>
  </si>
  <si>
    <t>http://www.spandalucia.com</t>
  </si>
  <si>
    <t>ALBERT RIVERA es una persona HONRADA, pero se CORROMPERÁ 🌏 MATERIA REPUBLICANA, 📢 Asonada,</t>
  </si>
  <si>
    <t>https://goo.gl/jdFGtt?dpb64=1825298385</t>
  </si>
  <si>
    <t>Eclipse TV</t>
  </si>
  <si>
    <t>#EntératePrimero #INTERNACIONALES Ciudadanos decide negociar con el PP el Gobierno de Andalucía sin excluir a Vox. @Albert_Rivera @manuelvalls</t>
  </si>
  <si>
    <t>https://www.facebook.com/EclipsePrensa/photos/a.1595701137134938/2039584146079966/?type=3&amp;permPage=1</t>
  </si>
  <si>
    <t>https://pbs.twimg.com/media/DtrTviSU4AAYWxb.jpg</t>
  </si>
  <si>
    <t>México, Mérida</t>
  </si>
  <si>
    <t>Televisión Digital... sintoniza la nueva plataforma digital http://www.GrupoEclipse.mx 📲💻🖥</t>
  </si>
  <si>
    <t>https://www.facebook.com/Eclipsetv-1724122281239439/</t>
  </si>
  <si>
    <t>Antonio García</t>
  </si>
  <si>
    <t>https://pbs.twimg.com/media/DtrSYC4UwAAb2OK.jpg</t>
  </si>
  <si>
    <t>Mérida, Yucatán, México</t>
  </si>
  <si>
    <t>Director Ejecutivo de Radio, Prensa y Televisión Digital GRUPO ECLIPSE.</t>
  </si>
  <si>
    <t>http://eclipsetvdigital.com/</t>
  </si>
  <si>
    <t>Ahora que pacten con socialistas y podemitas a en Andalucía. Aún no ha aire Rufo la lección @Albert_Rivera ? RT @libertaddigital: Radicales boicotean el acto de Ciudadanos por la Constitución en Barcelona: "¡Fuera fascistas!"</t>
  </si>
  <si>
    <t>https://twitter.com/libertaddigital/status/1070385587134185472
http://dlvr.it/Qsvq8V</t>
  </si>
  <si>
    <t>Manuel Valls</t>
  </si>
  <si>
    <t>#España echa en falta un relato que nos una, que no divida. Es nuestra obligación inventar un patriotismo que genere convivencia. #40AñosDeConstitución⁠ cc @Albert_Rivera @InesArrimadas</t>
  </si>
  <si>
    <t>https://pbs.twimg.com/media/DtrSykqWsAI8EjU.jpg</t>
  </si>
  <si>
    <t>Barceloní del barri d’Horta. Candidat a l'alcaldia de Barcelona, 2019. Ancien Premier Ministre de la France. Tuitejo amb el meu equip.</t>
  </si>
  <si>
    <t>Los amigos de @Albert_Rivera también son amigos de Abascal. Menuda sorpresa. Da mucha tranquilidad saber que nos "protegen " gente que odia alrededor del 50% de la población catalana RT @ANC_Mossos: L’alegria d’ @UMCmossos per l’entrada de Vox a Andalusia. Cap sorpresa. Us recordem que fa uns mesos ja feien paelles junts. Tenim els ultres, el feixisme de dretes i l’anticatalanisme al cos de Mossos. Actuarà el govern de la república i la conselleria?</t>
  </si>
  <si>
    <t>https://twitter.com/ANC_Mossos/status/1070227133958627329</t>
  </si>
  <si>
    <t>https://pbs.twimg.com/media/Dto15rtXgAAQuHF.jpg</t>
  </si>
  <si>
    <t>Boni Azuaga San</t>
  </si>
  <si>
    <t>Tiembla Andalucía: Vox desvela sus 10 exigencias a PP y Ciudadanos Para expulsar al PSOE de la Junta, la extrema derecha exige que Albert Rivera y Pablo Casado degraden Andalucía</t>
  </si>
  <si>
    <t>Prudencio Exojo</t>
  </si>
  <si>
    <t>Tenemos un reto, dice @Albert_Rivera NO DEBERÍAMOS permitir el enfrentamiento político entre unos y otros. ( guerracivilismo ) No veamos un enemigo en el otro. @InesArrimadas @manuelvalls @CiudadanosCs</t>
  </si>
  <si>
    <t>Ambidiestro, capacidad elemental para navegar en política. En la actualidad, nadando contra la corriente. Prensa matinal y oyente de radio a cualquier hora 📰📻</t>
  </si>
  <si>
    <t>http://press.archez.com</t>
  </si>
  <si>
    <t>http://page.is/prudencio-exojo</t>
  </si>
  <si>
    <t>MANUEL GARCIA</t>
  </si>
  <si>
    <t>Ciudadanos, la estafa naranja; Albert Rivera, un veleta sin principios y más falso que un billete del Monopoly</t>
  </si>
  <si>
    <t>🎙@Albert_Rivera “Tenemos que ser la España que suma y no que resta, la España que no discrimina, que defiende la unión [...] el espacio donde los moderados tienen cabida.” #40añosdeConstitución</t>
  </si>
  <si>
    <t>http://www.alertadigital.com/2018/12/03/la-insoportable-levedad-de-albert-rivera/#.XAhpqKfzqGU.twitter</t>
  </si>
  <si>
    <t>https://pbs.twimg.com/media/DtrR-jJXgAEAnyE.jpg</t>
  </si>
  <si>
    <t>Dice @Albert_Rivera que le preocupa seriamente el clima político de enfrentamiento al que estamos llegando. @CiudadanosCs @pacosierral @manuelvalls @InesArrimadas</t>
  </si>
  <si>
    <t>El nacionalista y populista Albert Rivera dice que el nacionalismo y el populismo son una amenaza... No dan para más. 😂😂😂😂😂 #ConstituciónEspañola #40AñosDeConstitución RT @Albert_Rivera: Nacionalismo y populismo son hoy las mayores amenazas a España y a Europa. Iglesias ataca diariamente a la Constitución y a la Jefatura del Estado. Yo si tengo que escoger entre él o Felipe VI... Qué queréis que os diga 😉 #40AñosDeConstitución</t>
  </si>
  <si>
    <t>pic.twitter.com/yjDWQogQjS</t>
  </si>
  <si>
    <t>Diego Ruiz del Árbol</t>
  </si>
  <si>
    <t>Dos noticias que juntas se entienden mejor. La primera es de abril de 2016, cuando había que llegar a un pacto en España para evitar nueva elecciones. La segunda es de hoy mismo. Hola @Albert_Rivera ✋</t>
  </si>
  <si>
    <t>https://pbs.twimg.com/media/DtrRjN2WkAAp-qM.jpg</t>
  </si>
  <si>
    <t>Padre, ingeniero informático, emprendedor y emigrante retornado. Me tuve que ir muy lejos para conocerme. Ahora @volvemos_</t>
  </si>
  <si>
    <t>http://volvemos.org</t>
  </si>
  <si>
    <t>Juan Claudio Lechin</t>
  </si>
  <si>
    <t>Deja la ingenuidad @Albert_Rivera Todo nube y todo seda, quieres la Tierra sin Mal pero los comunistas de Podemos te tienen rodeado y con esos delincuentes no hay “voy a ser un corderito”, no? O sea, come avispa, es decir, avíspate.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</si>
  <si>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Pensador y escritor</t>
  </si>
  <si>
    <t>http://juanclaudiolechin.blogspot.com/</t>
  </si>
  <si>
    <t>📽 @Albert_Rivera "Lo mejor que podría hacer el señor Tezanos es dimitir tras el batacazo de Andalucía; que el CIS 📊 diga ahora que el PSOE lidera en intención de voto es una vergüenza" #ActualidadCs</t>
  </si>
  <si>
    <t>pic.twitter.com/UFO8o49QBS</t>
  </si>
  <si>
    <t>Maria Rosa Garcia</t>
  </si>
  <si>
    <t>Estamos todos.Golpistas contra fascistas @InesArrimadas @Albert_Rivera la crispación es mala por ambas partes.Siembra vientos y recoge tempestades. ¿vais a pactar con extrema derecha? Tanto @vox_es como partidos independentistas han sido legítimamente votados #esloquehay RT @publico_es: "Fuera fascistas del Liceu": los estudiantes protestan contra el acto de Cs</t>
  </si>
  <si>
    <t>https://twitter.com/publico_es/status/1070381273997303808
https://www.publico.es/politica/40-aniversario-constitucion-fuera-fascistas-liceu-estudiantes-protestan-acto-cs.html?utm_source=twitter&amp;utm_medium=social&amp;utm_campaign=publico</t>
  </si>
  <si>
    <t>Madre. Abogada-Administradora de Fincas. Secretaria Gnral y candidata a la alcaldía @psoepuertolumbreras. Actuar con convicción. Querer es poder.</t>
  </si>
  <si>
    <t>pic.twitter.com/WdBfifmxHl</t>
  </si>
  <si>
    <t>Prometheus bilingüe</t>
  </si>
  <si>
    <t>#DocumentalsÀpunt Para frenar a @ahorapodemos, los del IBEX financiaron a Albert Rivera y Pedro Sánchez. Ahora los del IBEX animan a Rivera y Casado a que acuerden con @vox_es No quieren frenarles, sólo reconducirles. #JaqueAlRegimenDel78</t>
  </si>
  <si>
    <t>Microbloguista esporádico, cazador de teletertulianos estultos. Soc partidari d'una Espanya republicana, federal i per a tothom.</t>
  </si>
  <si>
    <t>Protesta pacífica de estudiantes en el Liceu contra @Albert_Rivera, @InesArrimadas y @manuelvalls. Arrimadas dice que son gente que no creen en la libertad, y no se da cuenta de que ella desprecia así la ídem de expresión de esos chicos/as.</t>
  </si>
  <si>
    <t>Albert Rivera. Rueda de prensa tras reunión Ejecutiva Nacional</t>
  </si>
  <si>
    <t>http://dlvr.it/QswxSY</t>
  </si>
  <si>
    <t>https://pbs.twimg.com/media/DtsQLGYVsAY933N.jpg</t>
  </si>
  <si>
    <t>@soyjosemari</t>
  </si>
  <si>
    <t>La metedura de pata de @CiudadanosCs de @Albert_Rivera con @manuelvalls será histórica.</t>
  </si>
  <si>
    <t>Veo Info</t>
  </si>
  <si>
    <t>Entrevista Albert Rivera</t>
  </si>
  <si>
    <t>http://www.youtube.com/watch?v=RDz4YLFnGHw
http://www.veoinfo.com/entrevista-albert-rivera/</t>
  </si>
  <si>
    <t>Twitterando</t>
  </si>
  <si>
    <t>El Mundo</t>
  </si>
  <si>
    <t>En Veo Info - La Casa de la Información . Las últimas noticias sobre Política, sucesos, deportes, ciencia, tecnología, y mucho + en Veo Info.</t>
  </si>
  <si>
    <t>http://Veoinfo.com</t>
  </si>
  <si>
    <t>Dice @Albert_Rivera que a una reforma de la constitución, habría que ir con un espíritu de RENUNCIA por parte de todos, como ocurrió en el 78. @InesArrimadas @CiudadanosCs</t>
  </si>
  <si>
    <t>Las protestas ciudadanas PACÍFICAS no son escraches (van con el cargo), y los escraches no es violencia, como exaltan los manipuladores @laSextaTV @telecincoes @Albert_RIvera y etc..</t>
  </si>
  <si>
    <t>Ni Dios ni Rey</t>
  </si>
  <si>
    <t>Dice Albert Rivera que si tuviese que pactar el Gobierno de Andalucía para gobernar él, con Idi Amín Dadá o con el "Emperador" Jean-Bédel Bokassa también lo haría. Así que por qué no, con los patriotas españolazos de Vox...</t>
  </si>
  <si>
    <t>Esperando el Asteroide de 10Km de diámetro que nos ponga en nuestro sitio. "Periodista de Investigación Superficial"</t>
  </si>
  <si>
    <t>DAVID RUIZ GUERRERO</t>
  </si>
  <si>
    <t>http://www.alertadigital.com/2018/12/03/la-insoportable-levedad-de-albert-rivera/?fbclid=IwAR1DGpHVyedoglyrvCaWoe7fPw2rmcAqVT03WxQZDvD2V8TPVZ_2oMBRL8g</t>
  </si>
  <si>
    <t>🎙 @Albert_Rivera “La Constitución Española debe unir a 47 millones de españoles, no contentar a Junqueras y Puigdemont que quieren romper el modelo constitucional” #40añosdeConstitución</t>
  </si>
  <si>
    <t>Sobre todo y ante todo buena gente. Con muchas ganas de pasar etapas y disfrutar un poquito de la vida......</t>
  </si>
  <si>
    <t>http://www.ruartecontract.com</t>
  </si>
  <si>
    <t>Noticias Venezuela</t>
  </si>
  <si>
    <t>Juan Pardo: ¿Por qué Albert Rivera se saltó “el registro” del control de seguridad del aeropuerto del Prat? El maletín portaba más de 2 millones de euros y 800 gramos de cocaína –gran pureza-</t>
  </si>
  <si>
    <t>https://wp.me/p26M0z-Ebc--</t>
  </si>
  <si>
    <t>https://pbs.twimg.com/media/DtsJl43X4AAyjrC.jpg</t>
  </si>
  <si>
    <t>Caracas, Venezuela</t>
  </si>
  <si>
    <t>🔴 La mejor y más actual red de noticias de Venezuela http://noticiasvenezuela.co</t>
  </si>
  <si>
    <t>http://noticiasvenezuela.org/</t>
  </si>
  <si>
    <t>https://pbs.twimg.com/media/DtrOiKGWsAAKu9W.jpg</t>
  </si>
  <si>
    <t>https://pbs.twimg.com/media/DtsJawAXQAUxODX.jpg</t>
  </si>
  <si>
    <t>Abel</t>
  </si>
  <si>
    <t>VALIENTES @InesArrimadas @manuelvalls @Albert_Rivera Ellos y el resto de personas que libremente deciden ir a un acto por la Constitución 💪🍊</t>
  </si>
  <si>
    <t>Insurance Broker y Padrino 👶 Ciudadano del mundo 🍊🌍 Liberal, progresista, europeísta.</t>
  </si>
  <si>
    <t>https://pbs.twimg.com/media/DtsJNubWoAIGSeb.jpg</t>
  </si>
  <si>
    <t>pic.twitter.com/l3zmlA11JK</t>
  </si>
  <si>
    <t>https://pbs.twimg.com/media/DtsJF0VWwAA2zET.jpg</t>
  </si>
  <si>
    <t>Ramona</t>
  </si>
  <si>
    <t>Escrache contra Albert Rivera y Manuel Valls en Barcelona con consignas independentistas  vía @laSextaTV</t>
  </si>
  <si>
    <t>http://j.mp/2RCdrFU</t>
  </si>
  <si>
    <t>la verdad</t>
  </si>
  <si>
    <t>I am not LAZY</t>
  </si>
  <si>
    <t>Más comentados ahora en Derecha/Centro Dcha.: ➀ @Albert_Rivera ↓ ➁ @ahorapodemos ↑ ➂ @InesArrimadas ↓ ➃ @vox_es ↓ ➄ @juanchoex ↓ ➅ @manuelvalls ↑ ➆ @PPopular ↑ ➇ @josepramonbosch ↓ ➈ @ldpsincomplejos ↑</t>
  </si>
  <si>
    <t>enrique r guerrero</t>
  </si>
  <si>
    <t>RIVERA ES MÁS FACHA QUE EL PINGÜINO d FRIGOLÍN,todos colgando medallas de Campeón¡ pero quien a vuelto a ganarle a la Susana y de calle ha sido el partido la Abstención Premeditada, no es casualidad, si causal de lo malo que son to2, solo se salva el Rey¿.</t>
  </si>
  <si>
    <t>Más influyentes ahora en Derecha/Centro Dcha.: ➀ @Albert_Rivera ↓ ➁ @juanchoex ↑ ➂ @josepramonbosch ↓ ➃ @ldpsincomplejos ↑ ➄ @JosPastr ↓ ➅ @Santi_ABASCAL ↓ ➆ @javiernegre10 ↑ ➇ @ANDRES_CANO42 ↑↑ ➈ @elmundoes ↓</t>
  </si>
  <si>
    <t>Antípodas</t>
  </si>
  <si>
    <t>Anda yaa, a ti te lo voy a decir yop, aj aja ja</t>
  </si>
  <si>
    <t>Si pactas con fascistas, no se por que te quejas de que te boicoteen un acto al grito de “fascista” @Albert_Rivera</t>
  </si>
  <si>
    <t>Yeyo 🇪🇸</t>
  </si>
  <si>
    <t>Me explicas esto @Albert_Rivera @CiudadanosCs? 🤔🤔 RT @elperiodico: 🔴ÚLTIMA HORA| El Govern pacta la cúpula de TV3 y Catalunya Ràdio con @ciudadanoscs y @socialistes_cat 👤 @saulgordillo presidirá la CCMA</t>
  </si>
  <si>
    <t>https://twitter.com/elperiodico/status/1070305596761628672
http://elperiodi.co/gdlbm1</t>
  </si>
  <si>
    <t>Tabarnia (BCN), España 🇪🇸</t>
  </si>
  <si>
    <t>Honra a los dioses, ama a tu mujer y defiende tu patria. sangre blanca de nacimiento, madridismo en vena. J.M</t>
  </si>
  <si>
    <t>Enrique Sanz</t>
  </si>
  <si>
    <t>No se puede ser más payaso que @Albert_Rivera. Grabando con el móvil...</t>
  </si>
  <si>
    <t>Diego Cruz</t>
  </si>
  <si>
    <t>El duro editorial de 'Le Monde' que no gustará ni a don @pablocasado_ ni a don @Albert_Rivera o viceversa: "Es peligroso"</t>
  </si>
  <si>
    <t>https://www.huffingtonpost.es/2018/12/04/el-duro-editorial-de-le-monde-que-no-gustara-ni-a-casado-ni-a-rivera-es-peligroso_a_23608193/?ncid=other_twitter_cooo9wqtham&amp;utm_campaign=share_twitter</t>
  </si>
  <si>
    <t>Aquí mi blog personal</t>
  </si>
  <si>
    <t>Celebrando la existencia en torno a las palabras. ¿Conversamos?</t>
  </si>
  <si>
    <t>http://www.diariodeuntranseunte.es</t>
  </si>
  <si>
    <t>Someone lost</t>
  </si>
  <si>
    <t>Con la gente de @vox_es @CiudadanosCs @PPopular ni respeto, ni amabilidad ni mierdas, a esta gente LANZALLAMAS!🔥 #Fascistas @Santi_ABASCAL @pablocasado_ @Albert_Rivera #fueradeespaña #fachas</t>
  </si>
  <si>
    <t>🎗️me paso por el forro de los cojones el rey y la rae. Busco una españa republicana, y si no es asi, un pais vasco independiente socialista y feminista</t>
  </si>
  <si>
    <t>saray ortiz carvajal</t>
  </si>
  <si>
    <t>Pactar con VOX en #Andalucía es perder las elecciones generales @Albert_Rivera @CiudadanosCs</t>
  </si>
  <si>
    <t>España Ciudadana</t>
  </si>
  <si>
    <t>❓ ¿Conoces nuestro #DecálogoCiudadano? 👉 Son diez reformas para construir la España que viene, diez medidas innovadoras del siglo XXI. 📽 ¡Te lo presenta @Albert_Rivera!</t>
  </si>
  <si>
    <t>ElNacional .cat</t>
  </si>
  <si>
    <t>Ahora que el programa electoral del socio de Ciudadanos, Vox, es cerrar Canal Sur, el partido de Albert Rivera recupera su sueño húmedo: cerrar TV3 | Vía @En_Blau_es</t>
  </si>
  <si>
    <t>http://bit.ly/2SxhKCB</t>
  </si>
  <si>
    <t>pic.twitter.com/kR9sDMGf2c</t>
  </si>
  <si>
    <t>Última hora política y económica de Catalunya, España e internacional. Creado por José Antich. FB http://facebook.com/elnacionalcates/ En catalán @elnacionalcat</t>
  </si>
  <si>
    <t>http://www.elnacional.cat/es/</t>
  </si>
  <si>
    <t>Perfil oficial de España Ciudadana, un espacio abierto de libertad para hablar sin complejos de lo que nos une a los españoles</t>
  </si>
  <si>
    <t>http://www.xn--espaa-ciudadana-1qb.es</t>
  </si>
  <si>
    <t>En Blau es</t>
  </si>
  <si>
    <t>Ahora que el programa electoral del socio de Ciudadanos, Vox, es cerrar Canal Sur, el partido de Albert Rivera recupera su sueño húmedo: cerrar TV3</t>
  </si>
  <si>
    <t>http://www.enblau.com/es/</t>
  </si>
  <si>
    <t>Juan Carlos Bermejo</t>
  </si>
  <si>
    <t>Acabo de recibir un mensaje de @Albert_Rivera "Vamos a cumplir con la voluntad de los andaluces: desalojar al PSOE de la Junta y liderar un nuevo Gobierno con nuevas personas y nuevas políticas" Me alegra leer esto y lo comparto. #5Dic</t>
  </si>
  <si>
    <t>✿ Snow White ✿</t>
  </si>
  <si>
    <t>Albert y Rivera&gt;&amp;gt;&amp;gt;&amp;gt;</t>
  </si>
  <si>
    <t>💗 marhuenda 💖</t>
  </si>
  <si>
    <t>faxa pero buena muxaxa</t>
  </si>
  <si>
    <t>https://www.larazon.es</t>
  </si>
  <si>
    <t>Las Rozas de Madrid, España</t>
  </si>
  <si>
    <t>Padre, esposo, español y del Rayo. Precandidato a las Primarias de Ciudadanos a la Comunidad de Madrid #EsenciaCiudadana</t>
  </si>
  <si>
    <t>http://www.vozpopuli.com/juan_carlos_bermejo/</t>
  </si>
  <si>
    <t>CeяvantesFAQs FEM</t>
  </si>
  <si>
    <t>Manuel Valls critica a Albert Rivera por abrir la puerta a VOX. Parece que Valls no conoce el auténtico origen reaccionario de su partido porque la realidad es que Cs está más cerca de Le Pen que de Macron y ambas cosas son incompatibles. Las contradicciones de Cs are coming 🍿</t>
  </si>
  <si>
    <t>¡Cervantes vive, la lucha sigue! ✊ (A veces soy CeяvantesFAQs FEM) Mis dos almas♀♂escriben en @Mentidero_ctxt de @ctxt_es @kamchatka_es @facua o @CopeliaLibros</t>
  </si>
  <si>
    <t>https://www.instagram.com/cervantesfaqs/</t>
  </si>
  <si>
    <t>Pepe William Munny</t>
  </si>
  <si>
    <t>Radicales boicotean el acto de Ciudadanos por la Constitución en Barcelona. ¿Pero no son los anticonstitucionales y los fascistas los de Vox según el franchute Valls? Toma nota, @Albert_Rivera</t>
  </si>
  <si>
    <t>Periodista. Mi guía, Montanelli y su frase: La independencia siempre es posible. aunque cuesta cara, no sólo en términos monetarios, también en desarraigo.</t>
  </si>
  <si>
    <t>http://directoalmentonjosequijadarubira.blogspot.com.es</t>
  </si>
  <si>
    <t>Radio Punto</t>
  </si>
  <si>
    <t>#INTERNACIONALES: Los dirigentes de Cs Albert Rivera e Inés Arrimadas, así como el aspirante a la alcaldía de Barcelona, Manuel Valls, han apelado hoy al "patriotismo constitucionalista" para fortalecer España frente a los independentistas que la quieren "romper".</t>
  </si>
  <si>
    <t>https://pbs.twimg.com/media/DtsACkPXgAAlHFy.jpg</t>
  </si>
  <si>
    <t>A ver @Albert_Rivera ... Igual si no estuvieras tonteando con la extrema derecha, no ejercieras como líder de la política del odio y la provocación... igual hasta no pasaría... De todas formas solo has grabado una cacerolada... Gente protestando a la que no vas a callar...</t>
  </si>
  <si>
    <t>Guatemala</t>
  </si>
  <si>
    <t>Somos un medio con noticias, deportes y temas de interés. Transmitiendo desde Guatemala para todo el país y el mundo.</t>
  </si>
  <si>
    <t>http://www.radiopunto.com</t>
  </si>
  <si>
    <t>https://twitter.com/Albert_Rivera/status/1070386956192899072</t>
  </si>
  <si>
    <t>Fran Gómez</t>
  </si>
  <si>
    <t>🎥 Acto de celebración de los #40AñosDeConstitución, @Albert_Rivera @InesArrimadas y @manuelvalls tienen que acceder al Liceo protegidos por los Mossos Así actúan los socios 'constitucionalistas' de Sánchez Sres. del @PSOE reaccionen YA porque está en peligro nuestra DEMOCRACIA</t>
  </si>
  <si>
    <t>pic.twitter.com/3s3ang29wj</t>
  </si>
  <si>
    <t>Arteixo, Galicia, España</t>
  </si>
  <si>
    <t>Patricia Ciudadana</t>
  </si>
  <si>
    <t>Moviéndome por el cambio, un ciudadano más. Equilibrista con red online.</t>
  </si>
  <si>
    <t>Paterna, Comunidad Valenciana</t>
  </si>
  <si>
    <t>Imposible es sólo una opinión</t>
  </si>
  <si>
    <t>Silvestre García</t>
  </si>
  <si>
    <t>Que no Albert, que no se ve.. . @Albert_Rivera</t>
  </si>
  <si>
    <t>COPE Murcia</t>
  </si>
  <si>
    <t>“¡Fascistas!”: así boicotean un acto de Rivera, Arrimadas y Valls por la Constitución</t>
  </si>
  <si>
    <t>https://www.cope.es/n/305761</t>
  </si>
  <si>
    <t>Twitter oficial de COPE Murcia. Puede seguirnos en 711 OM; 106.9 FM y COPE MÁS MURCIA 100.6 FM; Facebook COPE Murcia y en http://cope.es/murcia Estar informado :)</t>
  </si>
  <si>
    <t>http://www.cope.es/murcia</t>
  </si>
  <si>
    <t>Óscar Jiménez🇪🇸</t>
  </si>
  <si>
    <t>Sr. @Albert_Rivera dejé de tomar el pelo a los españoles, péguele una patada en el culo a @manuelvalls y ponga un candidato para Barcelona que no reparta carnets de demócratas porque @vox_es es un partido democrático y constitucional, diga lo que diga la izquierda.</t>
  </si>
  <si>
    <t>Hablo español, como 500 M de personas. I. T. O. P. por error, funcionario por necesidad. Para que triunfe el mal necesita que los hombres buenos no hagan nada.</t>
  </si>
  <si>
    <t>Antonio Diaz Thable</t>
  </si>
  <si>
    <t>#ElCascabel5D Albert Rivera y Ciudadanos la está cagando en Andalucía. Ojo, que van hacia abajo.</t>
  </si>
  <si>
    <t>Favi</t>
  </si>
  <si>
    <t>A @Albert_Rivera no le parece irresponsable pactar con un partido fascista, machista, xenófobo, racista, clasistacomo es VOX, pero si le parece una irresponsabilidad que Sanchez pacte con Bildu o Podemos. Todo coherencia, como siempre.</t>
  </si>
  <si>
    <t>ivan angulo</t>
  </si>
  <si>
    <t>Aquí haciendome un selfie y brindando con los amiguetes de Albert Rivera, Santiago Abascal y Pablo Casado. El Ku Klux Klan desbordado por la alegría de saber que tiene tantos seguidores en España 🙄</t>
  </si>
  <si>
    <t>https://pbs.twimg.com/media/DtkUujxWsAAS5eC.jpg</t>
  </si>
  <si>
    <t>CONTRA LA POBREZA Y HAMBRE MUNDIAL. CHAVEZ NUESTRO GUIA Y EJEMPLO. BOLIVARIANO Y LIBRE PENSADOR. CON SIRIA, PALESTINA Y SAHARA OCCID.CIUDADANO DEL MUNDO</t>
  </si>
  <si>
    <t>📺 Comienza el acto de #40AñosDeConstitución junto a @Albert_Rivera, @InesArrimadas y @manuelvalls en el Liceu de Barcelona. 📌 Puedes seguir el acto #EnDirecto a través del siguiente enlace:</t>
  </si>
  <si>
    <t>Merche Boix</t>
  </si>
  <si>
    <t>aun no conozco la diferencia entre Albert Rivera Y Santiago Abascal creo que el oportunismo y trepismo del primero</t>
  </si>
  <si>
    <t>https://www.youtube.com/watch?v=wtfnQbyHV40</t>
  </si>
  <si>
    <t>Eliath-ATURAR CAT</t>
  </si>
  <si>
    <t>MARESME, Barcelona, REPÚBLICA CATALUNYA</t>
  </si>
  <si>
    <t>Maki</t>
  </si>
  <si>
    <t>Sento</t>
  </si>
  <si>
    <t>Albert Rivera se equivocarà si se UNE con Vox. Ahora el centro lo tiene libre. Ciudadanos decide negociar con el PP el Gobierno de Andalucía sin excluir a Vox -</t>
  </si>
  <si>
    <t>Pablo Bonilla</t>
  </si>
  <si>
    <t>.@Albert_Rivera, desde que @sanchezcastejon es Okupa de la Moncloa llevas diciendo que no puede gobernar con 84 diputados de 350, ¿y tú ahora quieres gobernar Andalucía con 21 de 109?.</t>
  </si>
  <si>
    <t>https://elpais.com/politica/2018/12/05/actualidad/1544024987_048835.html</t>
  </si>
  <si>
    <t>🐜 La desigualdad es el origen de todos los movimientos locales, y ciegos están los que los ven y los ignoran.</t>
  </si>
  <si>
    <t>Cáceres</t>
  </si>
  <si>
    <t>Coach. Licenciado en Psicología. Técnico de Inclusión Soc Laboral. De Cáceres. Real Madrid. Orgulloso de ser español. Del 87. 1xMaratón 🇪🇸 🇪🇸</t>
  </si>
  <si>
    <t>Escrache en Barcelona a Albert Rivera y Manuel Valls en un acto en el Liceo con motivo del cuarenta aniversario de la aprobación de la Constitución del 78…toda la actualidad en el Informativo Noche con Pedro Piqueras</t>
  </si>
  <si>
    <t>http://www.trainyourtalent.net</t>
  </si>
  <si>
    <t>https://bit.ly/2zKeDjz</t>
  </si>
  <si>
    <t>https://pbs.twimg.com/media/Dtr8IO2WoAMk5f0.jpg</t>
  </si>
  <si>
    <t>Se compromete públicamente @Albert_Rivera no solo a que @CiudadanosCs va a desalojar al PSOE de la Junta de Andalucía, sino también a que va a liderar un nuevo gobierno. Sería un grave error forzar nuevas elecciones. @CiudadanoVille</t>
  </si>
  <si>
    <t>Ange Garcia</t>
  </si>
  <si>
    <t>Rivera ve irresponsable descartar escenarios de pacto, incluido VOX</t>
  </si>
  <si>
    <t>Saint-Cyprien, France</t>
  </si>
  <si>
    <t>Este @ierrejon sabe que estos @PSOE desaparecen y quiere ese electorado antes de que lo okupe este @Albert_Rivera RT @RobertooFinch: @el_pais Pura hipocresía. Errejón va de poli bueno pero es igual de fanático que el Chepas.</t>
  </si>
  <si>
    <t>https://twitter.com/RobertooFinch/status/1070324733462364161</t>
  </si>
  <si>
    <t>M. J.</t>
  </si>
  <si>
    <t>Otro que convierte a su candidato en el cuchara, porque en Andalucía ni pincha ni corta @JuanMarin_Cs "Albert Rivera priorizará negociar con el PP en Andalucía y no descarta que Vox entre en el Gobierno"  vía @elmundoes</t>
  </si>
  <si>
    <t>Andalucía.</t>
  </si>
  <si>
    <t>Mujer reconstruida. Soy del sur. Sí de ese sur que le sirve de guasa a tantos. Sí, del mismo del que me siento orgullosa</t>
  </si>
  <si>
    <t>Luis Fernández Campo 🇪🇸🍊</t>
  </si>
  <si>
    <t>A @CiudadanosCs los "amables" CDR no le dejan celebrar su acto #40AñosDeConstitución en #Barcelona con @Albert_Rivera @manuelvalls e @InesArrimadas. Muy poco democrático, y estos vociferantes fascistas se llaman a sí mismos antifascistas. #NoNosCallarán</t>
  </si>
  <si>
    <t>pic.twitter.com/jRI7f20O40</t>
  </si>
  <si>
    <t>Consultor de comunicación SocialMedia y Turismo 2.0. Ciudadano🇪y 🍊 expolítico 2.0. Viajero analógico y digital, fan de gastronomía y viajes. Fundador @Tbnetes</t>
  </si>
  <si>
    <t>http://www.fernandezdelcampo.es</t>
  </si>
  <si>
    <t>Carlos</t>
  </si>
  <si>
    <t>He firmado una petición dirigida a Sr. Albert Rivera que dice: "Al PSOE ni agua, Sr. Rivera" ¿Quieres firmar tu también? Click aquí:  Gracias</t>
  </si>
  <si>
    <t>http://www.citizengo.org/hazteoir/pc/167099-al-psoe-ni-agua-sr-rivera?tc=wp&amp;tcid=52545121</t>
  </si>
  <si>
    <t>Los nominados este año al Premio Mejor Orador de los periodistas parlamentarios (@APP_Cortes) son: @anioramas. @JoanTarda, @Albert_Rivera y @Pablo_Iglesias_</t>
  </si>
  <si>
    <t>DISIDENTE. Por los Derechos Civiles, las Libertades&amp;Dignidad Humanas. Por la unidad nacional</t>
  </si>
  <si>
    <t>Pardela</t>
  </si>
  <si>
    <t>Rivera no veta Vox: "Sería irresponsable descartar todos los escenarios" vía @elnacionalcat_e</t>
  </si>
  <si>
    <t>http://www.elnacional.cat/es/politica/albert-rivera-vox-andalucia_331920_102.html?utm_campaign=011e6a91b5-EMAIL_CAMPAIGN_2018_08_12_08_43_COPY_01&amp;utm_medium=email&amp;utm_source=Newsletter%20CASTELLANO&amp;utm_term=0_0009272682-011e6a91b5-304798833</t>
  </si>
  <si>
    <t>Cosmopolita 🌍</t>
  </si>
  <si>
    <t>#AgainstRacism #NoAlRacismo #GegenRassismus</t>
  </si>
  <si>
    <t>Òscar 🎗️</t>
  </si>
  <si>
    <t>y de primero⁉️</t>
  </si>
  <si>
    <t>😵😵😵😵 Albert Rivera se imagina votando en un proceso participativo entre Felipe de Borbón y otro candidato. (Felipe a secas, sin Su Majestad, sin Rey...) #RiveraEsRepublicano ! RT @Albert_Rivera: Nacionalismo y populismo son hoy las mayores amenazas a España y a Europa. Iglesias ataca diariamente a la Constitución y a la Jefatura del Estado. Yo si tengo que escoger entre él o Felipe VI... Qué queréis que os diga 😉 #40AñosDeConstitución</t>
  </si>
  <si>
    <t>Estamos celebrando #Constitucion40 y q TRISTEZA ver jóvenes iNTOLERANTES La #democraciadeLUTO Y lo digo yo q estoy bloqueado p @albert_rivera @CiudadanosCs</t>
  </si>
  <si>
    <t>https://pbs.twimg.com/media/DtrDrSsWsAAFW3p.jpg</t>
  </si>
  <si>
    <t>Tossut i decidit excepte quan he d’escollir el menú. Català, de Catalunya.</t>
  </si>
  <si>
    <t>jose antonio cubero</t>
  </si>
  <si>
    <t>Maputo</t>
  </si>
  <si>
    <t>Me da a mí que Albert Rivera y por ende Ciudadanos están cavando su tumba política. Al tiempo</t>
  </si>
  <si>
    <t>a ver q es esto....🤦🏻‍♂️</t>
  </si>
  <si>
    <t>#Dempeus🎗</t>
  </si>
  <si>
    <t>En @MVTARDE diciendo q si a la libertad d expresión pero no contra @Albert_Rivera #Oletú</t>
  </si>
  <si>
    <t xml:space="preserve">Catalunya </t>
  </si>
  <si>
    <t>Collita del 71, engendrat a Tarragona, català, culé, antimadridista i antiespanyol. Al q considero irreverent el bloquejo ipso facto sense contemplacions</t>
  </si>
  <si>
    <t>Niel Dpz #EnMarea</t>
  </si>
  <si>
    <t>Liberdade de expresión si, por suposto. Pero se pactades con VOX en #Andalucía convertídesvos no mesmo ca eles, así que non hai por que respectarvos @Albert_Rivera @manuelvalls #Escrache #Barcelona #FascismoNuncaMáis</t>
  </si>
  <si>
    <t>Rojo, activista LGTBI e comprometido có mundo.</t>
  </si>
  <si>
    <t>Mi condena a los scraches a @Albert_Rivera @InesArrimadas @manuelvalls por parte de invividuos antidemocráticos,fascistas en toda regla auto denominados “anti fascistas”. 👉🏼🖥</t>
  </si>
  <si>
    <t>https://www.huffingtonpost.es/2018/12/05/intentan-boicotear-un-acto-de-albert-rivera-en-el-liceo-al-grito-de-fuera-fascistas_a_23609607/</t>
  </si>
  <si>
    <t>Españolismo Integrista</t>
  </si>
  <si>
    <t>Hombre, si Albert Rivera se presentó a unas Europeas con Libertas... pacta con Vox, Le Pen, Bolsonaro o Salvini hasta pagando o poniendo el culo</t>
  </si>
  <si>
    <t>David Cifuentes</t>
  </si>
  <si>
    <t>.@Albert_Rivera, @InesArrimadas y @manuelvalls son escoltados por los Mossos a la entrada de un acto político en #Barcelona. Un grupo de jóvenes les grita “Fascistas, Nazis y malnacidos”. @A3Noticias</t>
  </si>
  <si>
    <t>El nacionalismo español y el franquismo sociológico son ficción. Ser no dependiente d la Constitución postfranquista es atroz. Instinto de Territorialidad unga!</t>
  </si>
  <si>
    <t>pic.twitter.com/HzsXfMBq28</t>
  </si>
  <si>
    <t>Periodista en @A3Noticias. He aprendido en @OndaCero_es |También en @NavarraTV |Antes en informativos de @rtvcyl</t>
  </si>
  <si>
    <t>http://www.antena3.com/noticias/</t>
  </si>
  <si>
    <t>Magdalena Oliver</t>
  </si>
  <si>
    <t>#MásValeTarde @mmendizabal1 Disfrutas atacando todo lo que venga de #Catalunya, no hablas con el mismo fervor cuándo son los "fachas " quienes ostigan. @Albert_Rivera recoge lo que siembra.</t>
  </si>
  <si>
    <t>ElConservadorDigital</t>
  </si>
  <si>
    <t>Podemos no descarta permitir que Ciudadanos gobierne Andalucía para cerrar el paso a Vox. ¿Será capaz Albert Rivera de gobernar con el apoyo de la extrema izquierda bolivariana?</t>
  </si>
  <si>
    <t xml:space="preserve">Pollença, Mallorca. </t>
  </si>
  <si>
    <t>Quiero más Sanchos Panza que Quijotes! La bandera no es lo que engrandece una Nación ni la une. Salut i força per totes les nostres llengües maternes. 💛💛💛✌</t>
  </si>
  <si>
    <t>https://www.elespanol.com/espana/politica/20181204/podemos-no-permitir-cs-gobierne-andalucia-vox/358214715_0.html</t>
  </si>
  <si>
    <t>Porque nos sentimos orgullosos de ser de derechas y decir las cosas claras. http://elconservadordigital.wordpress.com</t>
  </si>
  <si>
    <t>http://elconservadordigital.wordpress.com</t>
  </si>
  <si>
    <t>Luca Augello Ruiz</t>
  </si>
  <si>
    <t>Hoy unos intolerantes han tratado de boicotear el acto de @Albert_Rivera @InesArrimadas @manuelvalls en el Conservatorio del Liceo,donde se iba a hablar de la Constitución. Sí, esa que permite que todos podamos difundir libremente nuestras ideas,sin tratar de coartar a los demás.</t>
  </si>
  <si>
    <t>Estudiant de Ciències Polítiques UPF. You have learnt what freedom means and you will never forget it. Defensor del federalisme europeu. Milito a @CiutadansCs</t>
  </si>
  <si>
    <t>MAQUIAVELA</t>
  </si>
  <si>
    <t>Quienes no piensan como los lazitos amarillos, sufren escarches para impedir q se expresen libremente. @manuelvalls y @Albert_Rivera acosados x los d siempre RT @MVTARDE: 🔴Estudiantes revientan un acto de Valls y Rivera en Barcelona gritando consignas independentistas | DIRECTO➡</t>
  </si>
  <si>
    <t>Zaragoza 24 horas</t>
  </si>
  <si>
    <t>https://twitter.com/mvtarde/status/1070379185364000768
http://atres.red/4ncii6047</t>
  </si>
  <si>
    <t>http://dlvr.it/QswbPC</t>
  </si>
  <si>
    <t>https://pbs.twimg.com/media/DtrAMhtXcAAHF5E.jpg</t>
  </si>
  <si>
    <t>https://pbs.twimg.com/media/Dtr01zWU4AAVLL9.jpg</t>
  </si>
  <si>
    <t>Las noticias de Aragón según se van produciendo y apareciendo en nuestro periódico digital</t>
  </si>
  <si>
    <t>http://www.zaragoza24horas.com</t>
  </si>
  <si>
    <t>Tabarnesa convencida, amiga dl progreso. Catalana,española y europea</t>
  </si>
  <si>
    <t>GranCanariaTV</t>
  </si>
  <si>
    <t>Rivera no descarta pactar con VOX "Sólo CIUDADANOS representa cambio en Andalucía" Albert Rivera #JaqueAlRégimenDel78  vía @YouTube</t>
  </si>
  <si>
    <t>https://youtu.be/ilngxxpAR9c</t>
  </si>
  <si>
    <t>http://www.GranCanariaTV.com nace con la intención de convertirse en un medio de comunicación donde todos pueden participar.</t>
  </si>
  <si>
    <t>http://www.GranCanariaTV.com</t>
  </si>
  <si>
    <t>Nuria Giralt, PhD🎗 ❤️💛💜 ||*||</t>
  </si>
  <si>
    <t>Reto a cualquiera con una conciencia a que no vomite al leer esta mierda. #RepublicaYa  via @20m</t>
  </si>
  <si>
    <t>#JoSocCDR #RepubliCat</t>
  </si>
  <si>
    <t>El Fascista @Albert_Rivera y su perrito @manuelvalls como siempre provocando. Al fascismo se le combate así, señalandolo. FUERA FASCISTAS! liceu #alertaUltra #cdr #stopfascism Rivera liceu RT @elnacionalcat: El líder de Cs, Albert Rivera, grava els manifestants amb el mòbil en la seva arribada al Liceu</t>
  </si>
  <si>
    <t>Agora, Europe &amp; the US</t>
  </si>
  <si>
    <t>Ψ #FFRF #FreeSpeech #HumanRights #Humanist ø Catalan-American and centrist. Views my own and not my employer's. I’d like to stop saying “fuck” so much, really!🤓</t>
  </si>
  <si>
    <t>https://twitter.com/elnacionalcat/status/1070379621626101760
https://goo.gl/u17sXK</t>
  </si>
  <si>
    <t>pic.twitter.com/DD1mpzYgfh</t>
  </si>
  <si>
    <t>The Impertinent</t>
  </si>
  <si>
    <t>No pactar con #VOX es la posición sensata y democrática y Albert Rivera lo sabe. El problema es que #PP y #PSOE son constitucionalistas pero sus líderes tienen menos luces que el coche de los Picapiedra.  #ManuelValls #Ciudadanos</t>
  </si>
  <si>
    <t xml:space="preserve">Republica Catalana </t>
  </si>
  <si>
    <t>Suport a la campanya pel SÍ,per un país de tots per tots,de justicia social i llibertat! COMENÇA EL COMPTE ENRERE! EMPIEZA LA CUENTA ATRÁS! (NO OFICIAL)</t>
  </si>
  <si>
    <t>https://www.facebook.com/pages/JuntsPelS%C3%AD/1628836887393737</t>
  </si>
  <si>
    <t>https://elpais.com/politica/2018/12/05/actualidad/1543998700_343655.html?id_externo_rsoc=TW_CC</t>
  </si>
  <si>
    <t>In a village of La Mancha</t>
  </si>
  <si>
    <t>No bots nor algorithms. Just eyes, ears and nose.</t>
  </si>
  <si>
    <t>http://www.theimpertinent.com</t>
  </si>
  <si>
    <t>Elazote</t>
  </si>
  <si>
    <t>Los cachorros de @QuimTorraiPla reventando un acto de @Albert_Rivera y @manuelvalls, el adoctrinamiento funciona a toda máquina</t>
  </si>
  <si>
    <t>Tormenta78 Periodismo Digital</t>
  </si>
  <si>
    <t>#Elcascabel5D si Albert Rivera no pacta con VOX ya no le vota nadie</t>
  </si>
  <si>
    <t>https://pbs.twimg.com/media/DtrBeULWsAEXvYy.jpg</t>
  </si>
  <si>
    <t>Videos de youtube a favor de la unidad de España y la paz en Cataluña</t>
  </si>
  <si>
    <t>http://tormenta78.com</t>
  </si>
  <si>
    <t>Los fascistas @manuelvalls @InesArrimadas @Albert_Rivera encuentran la oposición antiFascista en las calles. NO PASARAN! #LICEU #ALERTAULTRA #CDR RT @albertmartnez: L'alumnat del conservatori del Liceu protesta per acte de @manuelvalls @InesArrimadas A la cantonada, líders de @CiutadansCs analitzen què fer. @La_Directa</t>
  </si>
  <si>
    <t>https://twitter.com/albertmartnez/status/1070377641440620545</t>
  </si>
  <si>
    <t>pic.twitter.com/G9iFd6rfgm</t>
  </si>
  <si>
    <t>Lopa</t>
  </si>
  <si>
    <t>O merdiña ese de amarelo aka Albert Rivera</t>
  </si>
  <si>
    <t>Barallobre, GALIZA</t>
  </si>
  <si>
    <t>Este mundo non cho entendo.</t>
  </si>
  <si>
    <t>https://instagram.com/diego_lopa</t>
  </si>
  <si>
    <t>Rosa Leite García</t>
  </si>
  <si>
    <t>No se vive ninguna "tensión" en Barcelona, @pablomontesino Que los estudiantes demuestren su indignación contra @manuelvalls y @Albert_Rivera es un acto normal en cualquier país democrático. Ergo, @mmendizabal1 ,deja de pontificar. #MVT</t>
  </si>
  <si>
    <t>Gonzalo</t>
  </si>
  <si>
    <t>Lo último de Albert Rivera!!!!!!Ciudadanos pacta con PSOE y Podemos librar a Pedro ZpSánchez de explicar su tesis ‘fake’ en la Asamblea de Madrid. Confirmado.</t>
  </si>
  <si>
    <t>Español del País Vasco, viviendo en Madrid, monárquico y liberal.</t>
  </si>
  <si>
    <t>Cs en el Congreso</t>
  </si>
  <si>
    <t>📽 @Albert_Rivera "Lo mejor que podría hacer el señor Sánchez es dimitir tras el batacazo de Andalucía. Que el CIS diga ahora que el PSOE está 10 puntos por encima es una vergüenza; lo mejor que puede hacer el señor Tezanos es dejar el cargo" #ActualidadCs</t>
  </si>
  <si>
    <t>https://pbs.twimg.com/media/DtqUUCUX4AANaaI.jpg</t>
  </si>
  <si>
    <t>Yo creo que ciudadanos de Albert Rivera sobra porque no es ni carne ni pescado y sólo sirve para dar por saco...no lo veis cono yo??</t>
  </si>
  <si>
    <t>Perfil oficial de @CiudadanosCs en el Congreso de los Diputados. FB: https://www.facebook.com/CsCongreso/</t>
  </si>
  <si>
    <t>Ada Colau</t>
  </si>
  <si>
    <t>Hoy @albert_rivera ha abierto claramente la puerta a pactar con VOX. También hoy su candidato en Barcelona, @ManuelValls, ha dicho que VOX representa la ultraderecha antidemocrática que hay que frenar ¿En qué quedamos? Ciudadanos y Valls van a tener que aclararse👇</t>
  </si>
  <si>
    <t>pic.twitter.com/bNjYH9GSog</t>
  </si>
  <si>
    <t>🇪🇸Music VOX.es🇪🇸</t>
  </si>
  <si>
    <t>Albert Rivera está jugando a "susto o muerte".</t>
  </si>
  <si>
    <t>Alcaldessa de Barcelona. Mayor of Barcelona Canal Telegram: https://t.me/adacolau</t>
  </si>
  <si>
    <t>http://ajuntament.barcelona.cat/alcaldessa</t>
  </si>
  <si>
    <t>Cada vez tengo más claro que estamos rodeados de gente cuyo único afán es buscar el enfrentamiento, porque si no es de medicación lo que llegan a decir.</t>
  </si>
  <si>
    <t>Diego</t>
  </si>
  <si>
    <t>En estos momentos escrache impresentable a @Albert_Rivera y @manuelvalls en BCN. Y en primera línea del mismo...una chica de “rasgos chinos”...gritando “fuera fascistas de Cataluña” Esto si que es un conflicto internacional y trasversal. 😂 Que penita...</t>
  </si>
  <si>
    <t>Ferrol - Madrid - Cadiz</t>
  </si>
  <si>
    <t>Fotógrafo (anteriormente Ingeniero) #Discapacidad #Actualidad #Política #Fotografía #Cine #Tecnología #Cultura #Viajes #Economía Igualdad y Libertad</t>
  </si>
  <si>
    <t>dokus</t>
  </si>
  <si>
    <t>ratas separatas hacen un escrache @Albert_Rivera y @manuelvalls en #liceo gente como la china q está en 1 fila q planta cara @mossos y chilla como una posesa. Quizás lo hace en #España pq en su país directamente la detendrían y se tiraría muchos años en la carcel o la matarían</t>
  </si>
  <si>
    <t>https://pbs.twimg.com/media/DtrAfMsXcAESyeT.jpg</t>
  </si>
  <si>
    <t>#Badalona, Cataluña, ESPAÑA</t>
  </si>
  <si>
    <t>OBRERO, trabajador incansable de derechas, orgulloso de votar @popular en defensa de mi curro. Harto de las mentiras de la izquierda y las ratas separatas</t>
  </si>
  <si>
    <t>GRAAN IN ASS EN ONAFHANKLIKE</t>
  </si>
  <si>
    <t>LAZA🕷RUS</t>
  </si>
  <si>
    <t>ESCRACHE a @Albert_Rivera y @manuelvalls en Barcelona al grito de no queremos fascistas. Imaginad si a Cs se les ocurre pactar con Vox en Andalucia. Ahí lo dejo. Pd: No pasara mucho tiempo antes de que Andalucia eche de menos al @psoeandalucia @PSOE. Leed el programa de Vox.</t>
  </si>
  <si>
    <t>TABARNIA</t>
  </si>
  <si>
    <t>Las leyes se pueden cambiar.Pero si no las respetas,no esperes que te respete yo a ti.</t>
  </si>
  <si>
    <t>127.0.0.1 | El Sur |</t>
  </si>
  <si>
    <t>..\\Si estas lo suficientemente quieto lograras oírlo todo | Una idea es como un virus, resistente y altamente contagiosa\\..</t>
  </si>
  <si>
    <t>http://hackdosx.blogspot.com</t>
  </si>
  <si>
    <t>Sin comulgar con ninguno de ellos,me despiertan mayor simpatía un grupo de jóvenes independentistas que los Srs.@manuelvalls y @Albert_Rivera .Sin embargo es vergonzoso observar como los primeros boicotean actos de dichos políticos.Acallar x la fuerza no es DEMOCRACIA</t>
  </si>
  <si>
    <t>https://wp.me/p26M0z-Ebc</t>
  </si>
  <si>
    <t>https://pbs.twimg.com/media/DtrvdAvXgAACWf3.jpg</t>
  </si>
  <si>
    <t>Madre, historiadora, merengue y muy muy asturiana. Me preocupa la degradación de los DD.HH, fruto de la nefasta política de la España y Europa conservadoras.</t>
  </si>
  <si>
    <t>Jose Redondo</t>
  </si>
  <si>
    <t>Habiendo sostenido casi 4 años al #CorruPSOE pretende @Albert_Rivera @CiudadanosCs dar lecciones de limpieza @JuanMarin_Cs @Cs_Andalucia 🤯 RT @CiudadanosCs: 📽 @Albert_Rivera "La Ejecutiva de Cs ha decidido abrir negociaciones para un nuevo gobierno en Andalucía con exigencias claras: que sea un gobierno de cambio, que al frente esté un partido limpio con capacidad de diálogo y que lidere una opción que crece en votos" #ActualidadCs</t>
  </si>
  <si>
    <t>Prevencionista de profesión, #basket coach por devoción y comprometido con el DXT Adaptado y la discapacidad intelectual ~ Colaborador en http://SextoAnillo.com</t>
  </si>
  <si>
    <t>Es que manda huevos que sea un acto abierto al público y piten a un excelente orador como es @Albert_Rivera y a todo un primer ministro de Francia como es @manuelvalls! Ya me habría gustado tener la oportunidad de vivir en Barcelona y poder escucharlos! No saben lo que hacen! 😩</t>
  </si>
  <si>
    <t>pic.twitter.com/bmhPQ6WfEM</t>
  </si>
  <si>
    <t>Ruth Lortzing</t>
  </si>
  <si>
    <t>Y en la tele dicen que los que os impiden hablar @Albert_Rivera y @manuelvalls son estudiantes. Pues vaya nivel de estudios que hay en Bcn.</t>
  </si>
  <si>
    <t>https://pbs.twimg.com/media/Dtruil8WoAUMkyl.jpg</t>
  </si>
  <si>
    <t>Una anda buscando como ser ciudadana y no solo contribuyente. Vet. Schwaben. Española. Yo si soy Máster.</t>
  </si>
  <si>
    <t>Asun Alvarez</t>
  </si>
  <si>
    <t>😩😩Albert Rivera priorizará negociar con el PP en Andalucía y no descarta que Vox entre en el Gobierno @elmundoes</t>
  </si>
  <si>
    <t>Alberto González</t>
  </si>
  <si>
    <t>#MVT Sobre el escrache que estamos viendo ahora mismo a @Albert_Rivera y @manuelvalls en Barcelona, es curioso que los que les tachan de "fascistas" sean los que se comporten como tal. Pena de gente ignorante, y en su mayoría, según veo, jóvenes.</t>
  </si>
  <si>
    <t>http://www.elmundo.es/espana/2018/12/05/5c07d10afc6c83de3f8b475c.html</t>
  </si>
  <si>
    <t>progresista, socialista, amante de libertad e igualdad de derechos y Española sin complejos. Soy del Atlético de Madrid.</t>
  </si>
  <si>
    <t>Coslada, Comunidad de Madrid</t>
  </si>
  <si>
    <t>Informática.</t>
  </si>
  <si>
    <t>Recordar, que lo primero son los ciudadanos de Andalucia y no los personalismos y los enrocamientos. Facilitar los pactos. @JuanMarin_Cs Marin y @Albert_Rivera. No obstaculizar el cambio en Andalucia. Cumplir vuestra palabra. RT @Cienrosas: @Albert_Rivera @JuanMarin_Cs Como os empecinéis con lo de Marín acabamos en otras elecciones. Lo sepáis. Y ese día olvidaos para siempre de que NADIE vuelva a confiar en vosotros.</t>
  </si>
  <si>
    <t>https://twitter.com/Cienrosas/status/1070319953616756737</t>
  </si>
  <si>
    <t>Blue Ideas</t>
  </si>
  <si>
    <t>Que asi sea 👉Digo yo👈 A el Sr. Camorra FUEGO que es el más fiel reflejo insano de los quemaban iglesias en #Andalucia, y llama para tratados, y moderación en discurso actual, para hacer Tripartito Psoe/Podemos/Cs Oiga @Albert_Rivera de madre divina andaluza, Un vasito de AGUA RT @Albert_Rivera: Alcalde, no se ponga nervioso. Esta es mi tierra porque mis cuatro abuelos eran andaluces y mi madre también; y como Andalucía es parte de España, también es tierra abierta a todos los españoles. Ni Cataluña es propiedad de Torra ni Andalucía del PSOE.</t>
  </si>
  <si>
    <t>https://twitter.com/Albert_Rivera/status/1068957670286217222
https://www.lavanguardia.com/politica/20181201/453253327255/alcalde-sevilla-elecciones-andaluzas-psoe-albert-rivera.html</t>
  </si>
  <si>
    <t>Periodista en Medios/Redes Sociales "Cuando tu me enseñes el título, yo te enseño el mio" ¿Despues de 30 años, aún no te ha llegado?</t>
  </si>
  <si>
    <t>narud +</t>
  </si>
  <si>
    <t>Hace días que Albert Rivera sobre Andalucía dice blanco y negro, ni si ni no sino todo lo contrario... Uyuyuyuyuy !!. @EduCGalvan @pazos_alberto Que mala espina me da todo esto...Pio, pio, de Rivera y Cs no me fío ! @josemvillarval @temtem23</t>
  </si>
  <si>
    <t>Francisco Sierra</t>
  </si>
  <si>
    <t>Estudiantes revientan un acto de @manuelvalls y @Albert_Rivera en Barcelona. Estos ¿estudiantes? que gritan fascistas son los auténticos fascistas.@</t>
  </si>
  <si>
    <t>Observadores pesimistas de la realidad. Convencidos que el guayismo y su vertiente del chupi-guay son la base de muchos problemas de España 🇪🇸</t>
  </si>
  <si>
    <t>Miguel Bravo Feito</t>
  </si>
  <si>
    <t>En Atresmedia entre redes, webs y teles. De la literatura a la tecnología. Todo es conocimiento. La cuenta es personal, sólo me representa a mí. De @Los50Atleti</t>
  </si>
  <si>
    <t>http://www.atresmedia.com</t>
  </si>
  <si>
    <t>Becerril de la Sierra, España</t>
  </si>
  <si>
    <t>Más comentados ahora en Derecha/Centro Dcha.: ➀ @ahorapodemos ↑ ➁ @Santi_ABASCAL ↓ ➂ @josepramonbosch ↑ ➃ @JosPastr ↓ ➄ @Albert_Rivera ↑ ➅ @vox_es ↑ ➆ @ldpsincomplejos ↓ ➇ @sanchezcastejon ↓ ➈ @elmundoes ↓</t>
  </si>
  <si>
    <t>CsManresa</t>
  </si>
  <si>
    <t>Esta es la situación actual en el lugar donde se ha de celebrar el acto "40 años de constitución" con @Albert_Rivera, @InesArrimadas y @manuelvalls, y son ellos los que nos llaman fascistas #NoNosCallarán #HG7</t>
  </si>
  <si>
    <t>pic.twitter.com/GvflG8MDfS</t>
  </si>
  <si>
    <t>Manresa, España</t>
  </si>
  <si>
    <t>Perfil Oficial. Partido Político. AGRUPACIÓN MANRESA. Grupo Territorial Bages y Berguedà cat.central@ciudadanos-cs.org</t>
  </si>
  <si>
    <t>https://www.facebook.com/Cs-Manresa-527806753938979/</t>
  </si>
  <si>
    <t>Pues entonces @Albert_Rivera no hay acuerdo con el @PPopular para echar al @PSOE de la Junta. Un PP que consiguió más votos que @CiudadanosCs y que exige que @JuanMa_Moreno sea el próximo presidente andaluz. Albert, a ver si tú cabezonería va a permitir que el PSOE siga 😖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</si>
  <si>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Más influyentes ahora en Derecha/Centro Dcha.: ➀ @josepramonbosch ↑ ➁ @JosPastr ↓ ➂ @Santi_ABASCAL ↑ ➃ @ldpsincomplejos ↓ ➄ @Albert_Rivera ↓ ➅ @juanchoex ↓ ➆ @elmundoes ↓ ➇ @hermanntertsch ↑↑ ➈ @FrayJosepho ↑↑</t>
  </si>
  <si>
    <t>España Ciudadana: "# sigue en directo 40 Años de Constitucionalismo con Albert Rivera, Inés Arrimadas y Manuel Valls"</t>
  </si>
  <si>
    <t>https://www.pscp.tv/ESPCiudadana/1eaKbOykdmdGX</t>
  </si>
  <si>
    <t>AnnaCHU 🐞</t>
  </si>
  <si>
    <t>Hola, pueden explicar Uds. quiénes son los fascistas en España? Espero que se pronuncien sobre esta salvaje agresión de más de 10 encapuchados a un joven de 19 años en Vitoria al grito de "español de mierda" @sanchezcastejon @Pablo_Iglesias_ @Albert_Rivera @pablocasado_ RT @indpcom: 🔴 Una testigo directa nos cuenta cómo sucedió la agresión que sufrió un joven el pasado viernes en el campus universitario de Vitoria</t>
  </si>
  <si>
    <t>Celebramos #40AñosDeConstitución⁠ ⁠⁠en Barcelona con @InesArrimadas y @manuelvalls y algunos pretenden que no tengamos derecho de reunión ni libertad para defender la igualdad y la unión. Esto es lo que he grabado: la cara del nacionalismo frente a la democracia.</t>
  </si>
  <si>
    <t>https://twitter.com/indpcom/status/1070361704134074369
https://www.elindependiente.com/politica/2018/12/05/mas-diez-encapuchados-suelo-golpearon-cara-gritaban-espanol-mierda/?utm_source=share_buttons&amp;utm_medium=twitter&amp;utm_campaign=social_share2</t>
  </si>
  <si>
    <t>A favor del Estado de Derecho y del orden social. Antitaurina. España ⭐️🍀</t>
  </si>
  <si>
    <t>Cabreados 24h : @pablocasado_: 1164 @Albert_Rivera: 3335 @sanchezcastejon: 7533 @Pablo_Iglesias_: 13566 @Santi_ABASCAL: 15044</t>
  </si>
  <si>
    <t>https://pbs.twimg.com/media/Dtq-P3-WwAApFaj.png</t>
  </si>
  <si>
    <t>Societat Civil Catalana</t>
  </si>
  <si>
    <t>Todo nuestro apoyo a @manuelvalls y @Albert_Rivera #NoNosCallaran RT @iellakuria: Los autoproclamados “antifascistas” boicotean el acto de Rivera y Valls en el conservatorio del Liceu</t>
  </si>
  <si>
    <t>https://twitter.com/iellakuria/status/1070374467640197120</t>
  </si>
  <si>
    <t>https://pbs.twimg.com/media/Dtq75kVXcAAiwlX.jpg</t>
  </si>
  <si>
    <t>Cuenta oficial de Twitter de Societat Civil Catalana. RT is not endorsement</t>
  </si>
  <si>
    <t>http://societatcivilcatalana.cat</t>
  </si>
  <si>
    <t>Una pizza de jamón, queso y</t>
  </si>
  <si>
    <t>Para cuando la izquierda comience a hacer autocrítica, @Albert_Rivera será nuestro caudillo. #AndaluciaAntifascista #AndaluciaL6 #izquierda</t>
  </si>
  <si>
    <t>Nadie al volante.</t>
  </si>
  <si>
    <t>Juan Elman</t>
  </si>
  <si>
    <t>Si tu novio: -Se burla de vos cuando homenajeas a víctimas del franquismo -Pacta con la extrema derecha o el socialismo con tal de llegar al poder -Te trata de modo soberbio y altanero -Tiene delirios de enano fascista No es tu novio, es Albert Rivera.</t>
  </si>
  <si>
    <t>José Luis</t>
  </si>
  <si>
    <t>Tamo“Le pido a Susana Díaz que no bloquee Andalucía, porque ha perdido y no tiene mayoría". A ver @Albert_Rivera @CiudadanosCs 33&gt;21 seguramente ese día no fuiste a clase de mates. &amp;gt; significa mayor que #porsiacaso tampoco lo sabes</t>
  </si>
  <si>
    <t>Buenos Aires, Argentina</t>
  </si>
  <si>
    <t>Periodista. Ciencia Política (UBA). Política internacional. La Vanguardia Digital, FM La Tribu y Clarín. Quiero vivir de preguntar.</t>
  </si>
  <si>
    <t>https://www.instagram.com/juanelman/</t>
  </si>
  <si>
    <t>El genio se hace con un 1% de talento, y un 99% de trabajo (AE)</t>
  </si>
  <si>
    <t>Alberto</t>
  </si>
  <si>
    <t>Como titularías una cena entre Pedro Sánchez, Pablo Casado, Albert Rivera, Pablo Iglesias, Santi Abascal, Echenique, Rufián, Eduardo Inda, Bertin Osborne, Ferreras, Junqueras y Puigdemont? La última cena.</t>
  </si>
  <si>
    <t>Economía y derecho. Me gusta hablar de todo. No intentes etiquetarme 😊</t>
  </si>
  <si>
    <t>Buenas tardes @CasaReal , @sanchezcastejon , @pablocasado_ , @Albert_Rivera , @InesArrimadas , @Santi_ABASCAL #EleccionesAndalucía #Eleccionesandaluzas #AndaluciaDecide #AixequemLaSuspensió #Catalunya #RepublicaCatalana #FemLaRepublicaCatalana #21D #21DBarcelona #MAMBO #FemXarxa RT @ehbilducongreso: 📺 @JonInarritu en @ActualidadRT: «En el Estado español la monarquía está contaminada de origen, ya que fue fruto de la decisión del dictador Franco. Si el rey emérito no hubiera gozado de esa inviolabilidad, a día de hoy seguramente estaría con su yerno en la cárcel de Ávila».</t>
  </si>
  <si>
    <t>https://twitter.com/ehbilducongreso/status/1070286472706703360</t>
  </si>
  <si>
    <t>pic.twitter.com/ilGbhIzT8F</t>
  </si>
  <si>
    <t>Nacionalismo y populismo son hoy las mayores amenazas a España y a Europa. Iglesias ataca diariamente a la Constitución y a la Jefatura del Estado. Yo si tengo que escoger entre él o Felipe VI... Qué queréis que os diga 😉 #40AñosDeConstitución</t>
  </si>
  <si>
    <t>world of absurds</t>
  </si>
  <si>
    <t>La región más rica, como Suecia, pero con más pobres y cada año más gente en riesgo de pobreza severa y exclusión social @ppmadrid @Cs_Madrid @Albert_Rivera @pablocasado_ #PP #Cs</t>
  </si>
  <si>
    <t>https://lamiradacomun.es/madrid/madrid-comunidad-presupuestos-riqueza-desigualdad/</t>
  </si>
  <si>
    <t>Critica constructiva, casi siempre, de lo absurdo</t>
  </si>
  <si>
    <t>Merkel rechaza a la ultraderecha. Macron rechaza a la ultraderecha. @pablocasado_ y @Albert_Rivera arden en deseos de irse a la cama con sus representantes en España.</t>
  </si>
  <si>
    <t>Defender y actualizar nuestra Constitución  #40añosdeconstitución</t>
  </si>
  <si>
    <t>Jesús</t>
  </si>
  <si>
    <t>Albert Rivera, España y Europa  vía @elmundoes</t>
  </si>
  <si>
    <t>Céntra las oportunidades @Rafa_Hernando cuando este @Albert_Rivera cometa el error decisivo que se le está presentando y déjate de chorradas 😃 RT @doguionrego: De donde crees que el @PPopular va recuperar los votos cuando @pablocasado_ pida perdón limpie la casa y cambie la táctica ?? Que necesidad tienes de insultar a nuestros votantes 😉</t>
  </si>
  <si>
    <t>https://www.elmundo.es/opinion/2018/12/05/5c06b60efdddfff2538b45fe.html</t>
  </si>
  <si>
    <t>https://twitter.com/doguionrego/status/1070371733163646976
https://twitter.com/doguionrego/status/1070370399521771520</t>
  </si>
  <si>
    <t>REAL MADRID, todo lo demás es transitorio o negociable. Señorío es morir en el campo, no filosofía barata.</t>
  </si>
  <si>
    <t>Al Día</t>
  </si>
  <si>
    <t>#VÍDEO @Albert_Rivera no descarta hablar con @vox_es</t>
  </si>
  <si>
    <t>http://ver.trecetv.es/ro2oe1</t>
  </si>
  <si>
    <t>La información que buscas, cuando y donde la buscas. De lunes a domingo a las 14:30 en TRECE.</t>
  </si>
  <si>
    <t>http://www.trecetv.es/programas/al-dia</t>
  </si>
  <si>
    <t>-Rivera: " Sánchez pacta con independentistas, con terroristas, con los que se quieren cargar España". -¿Va usted a pactar con la ultraderecha, homófoba, xenófoba y machista? -@Albert_Rivera: Sería irresponsable no hacerlo. Y Rivera se quitó la careta...</t>
  </si>
  <si>
    <t>Suso ∀lonso</t>
  </si>
  <si>
    <t>Y si no las eliminan tambien, el día de mañana se estudiará en las universidades de Ciencias Políticas que Albert Rivera volvió a pactar con las extrema derecha aún teniendo la mala experiencia de Libertas.</t>
  </si>
  <si>
    <t>Parado a los 52 años. Excluido del mercado laboral gracias al PP. Abandoné Políticas en la UNED por razones obvias. Me rompieron sueños, pero no el pensamiento.</t>
  </si>
  <si>
    <t>http://sumuspopulus.blogspot.com.es/</t>
  </si>
  <si>
    <t>Josep Lluis Berlanga 🎗 2.078.008</t>
  </si>
  <si>
    <t>Que dice @Albert_Rivera que no va a pactar con el PSOE andaluz por su corrupción y por el desastre que han hecho en Andalucía,no como pactar con el PP,que no tiene casos de corrupción y lo ha hecho estupendamente en el gobierno de España ...ni punto de comparación oiga</t>
  </si>
  <si>
    <t>Figueres, República Catalana</t>
  </si>
  <si>
    <t>barcelonés de neixament,canetenc de cor,ampurdanés d'adopció,lampista de profesió,pare de sentiment,apasionat per impuls,culer de cuna,indepe per convicció</t>
  </si>
  <si>
    <t>pic.twitter.com/8WuAxPt5nf</t>
  </si>
  <si>
    <t>Ciudadanos Córdoba Provincia</t>
  </si>
  <si>
    <t>📽🍊 @Albert_Rivera: "La Junta de Andalucía debe ser presidida por un partido que crezca y no esté manchado por la corrupción. El PP sigue pendiente de casos de corrupción y por eso Cs es una mejor opción para lograr la regeneración"</t>
  </si>
  <si>
    <t>pic.twitter.com/qVMfttZId8</t>
  </si>
  <si>
    <t>Farreras y cía, han cambiado Se follaron a Albert Rivera cuando la moción de censura, pide elecciones que las ganaras. Y ahora preocupados por su futuro, le llevarán a que el PSOE gobierne en Andalucía, por su bien NO por el PSOE o el rabioso PODEMOS Es todo tan burdo!</t>
  </si>
  <si>
    <t>Perfil oficial de @CiudadanosCs en Córdoba Provincia. 🍊📲 También estamos en Facebook</t>
  </si>
  <si>
    <t>macrom</t>
  </si>
  <si>
    <t>Unas elecciones en las que se abstiene el 41,35%, más de dos millones y medio de personas!!! está mandado un mensaje claro de la ciudadanía a los políticos: Váyanse todos o como poco, váyanse al rincón de pensar @Albert_Rivera @sanchezcastejon @pablocasado_ @Pablo_Iglesias_</t>
  </si>
  <si>
    <t>Yo Rafael de ti siempre pienso que cada vez que hablas en contra de este @Albert_Rivera creo que a quien perjudicas es a este @pablocasado_ Supogo que porque eres muy limitado 😉 RT @Rafa_Hernando: Ganaron en Cataluña pero no se presentaron a la investidura. Desestabilizaron el Gobierno de Rajoy y propiciaron que Sánchez gobierne España con Podemitas, golpistas y filoetarras, y ahora pueden propiciar el cambio histórico en Andalucía respetando las urnas. Veremos que hacen</t>
  </si>
  <si>
    <t>Vicente Torroglosa</t>
  </si>
  <si>
    <t>#elIntermedio Valls no sabe con quién se ha aliado. No sabe que no siempre la cara es el espejo del alma, y la de Albert Rivera es uno de esos casos. Quizá con bigottito lo reflejaría mejor.</t>
  </si>
  <si>
    <t>https://twitter.com/Rafa_Hernando/status/1070240236783972352</t>
  </si>
  <si>
    <t>Boicot inicial al acto para conmemorar los 40 años de la Constitución Española de @CiutadansCs @manuelvalls @Albert_Rivera @InesArrimadas Aishh la libertad de expresión...</t>
  </si>
  <si>
    <t>https://pbs.twimg.com/media/Dtq4AFMXQAAzOS9.jpg</t>
  </si>
  <si>
    <t>INFH NDPNTSM 051218220037 Albert Rivera llama a la moderación tras el escrache en Barcelona: Tenemos que dar la batalla para no estar en manos de extremistas</t>
  </si>
  <si>
    <t>https://www.lasexta.com/noticias/nacional/albert-rivera-llama-a-la-moderacion-tras-el-escrache-en-barcelona-tenemos-que-dar-la-batalla-para-no-estar-en-manos-de-extremistas-video_201812055c082f500cf26a2d5572b04f.html</t>
  </si>
  <si>
    <t>📰@Albert_Rivera 'El presidente de la Junta debe ser limpio, con capacidad de diálogo y que no pare de crecer' 👉 #ActualidadCs</t>
  </si>
  <si>
    <t>https://bit.ly/2E4xTeV</t>
  </si>
  <si>
    <t>https://pbs.twimg.com/media/DtqwCIvWkAIDitk.jpg</t>
  </si>
  <si>
    <t>Pepe Castellano</t>
  </si>
  <si>
    <t>http://bit.ly/2E4jlvK</t>
  </si>
  <si>
    <t>¿Aún no has leído el artículo de hoy de @Albert_Rivera sobre la Constitución? 🗣 "Es una de las mejores del mundo" 👉 Su reforma debe hacerse para satisfacer al pueblo español, no a los que quieren romper España. 🗞 Léelo en</t>
  </si>
  <si>
    <t>Gran Canaria, Islas Canarias</t>
  </si>
  <si>
    <t>Nacionalista Canario, Progresista, Política 2.0, estudios Ing. Técn. Teleco, autodidacta en Participación Ciudadana, Urbanismo, Gestión Procesos Electorales ...</t>
  </si>
  <si>
    <t>http://sieteislasunsolopueblo.blogspot.com</t>
  </si>
  <si>
    <t>#LoMásLeído Para expulsar al PSOE de la Junta, la extrema derecha exige que Albert Rivera y Pablo Casado degraden Andalucía</t>
  </si>
  <si>
    <t>https://pbs.twimg.com/media/Dtq2eEiW0AAIX05.jpg</t>
  </si>
  <si>
    <t>milikito</t>
  </si>
  <si>
    <t>Andalucia el lider de la reconquista hace lo mismo que Aznar con el catalán habla con @Albert_Rivera en privado, si es que al final la Cabra tira al monte</t>
  </si>
  <si>
    <t>La vida es muy peligrosa. No por las personas que hacen el mal, sino por las que se sientan a ver lo que pasa.</t>
  </si>
  <si>
    <t>Jorge Güell Cano</t>
  </si>
  <si>
    <t>Seguro @iescolar que tanto @pablocasado_ como @Albert_Rivera esta noche no podrán conciliar el sueño del disgusto RT @iescolar: Ojo a este editorial de Le Monde -&gt; advertencias a Ciudadanos y duras críticas a Casado por "normalizar el discurso" de la extrema derecha</t>
  </si>
  <si>
    <t>Albert RIVERA: Decisiones de CIUDADANOS sobre su actuación en ANDALUCÍA:  via @YouTube</t>
  </si>
  <si>
    <t>http://youtu.be/DyFShYruhRc?a</t>
  </si>
  <si>
    <t>https://twitter.com/iescolar/status/1070024366577061888
https://www.eldiario.es/rastreador/Monde-advierte-Ciudadanos-Casado-normalizar-extrema-derecha_6_842775750.html</t>
  </si>
  <si>
    <t>Me interesa la Política en general y la Economía en particular y tengo curiosidad por ver cuando los que nos gobiernan verán al rey desnudo.</t>
  </si>
  <si>
    <t>Carmen Alanaranja</t>
  </si>
  <si>
    <t>- Albert, ¿vas a apoyar a VOX? + Yo de momento voy a hacer lo que mejor sé. ¡El tonto! "Liceu". "Rivera y Valls".</t>
  </si>
  <si>
    <t>https://pbs.twimg.com/media/DtrmZjNWoAAI0Xe.jpg</t>
  </si>
  <si>
    <t>No tengo soga ni rienda y voy y vengo a mi aire. Ecologista, feminista y republicana. Si no traes buen humor, prohibido el paso. Agente secreto de @ECDLMM.</t>
  </si>
  <si>
    <t>Kumy Barcelona 🇪🇸</t>
  </si>
  <si>
    <t>No seré yo el que machaque a @Albert_Rivera o @InesArrimadas que son a los que voté la última vez, pero cuidado... ⚠️⚠️⚠️⚠️⚠️⚠️⚠️⚠️⚠️⚠️ Pero ¿qué le pasa a Ciudadanos?  vía @DolcaCatalunya</t>
  </si>
  <si>
    <t>potorrín de azúcar ♀</t>
  </si>
  <si>
    <t>@ Albert Rivera me vas a desbloquear algún día? que no puedo ni mencionarte porque no me sale tu Twitter joe RT @archillect:</t>
  </si>
  <si>
    <t>https://www.dolcacatalunya.com/2018/12/pero-que-le-pasa-a-ciudadanos/</t>
  </si>
  <si>
    <t>https://twitter.com/archillect/status/1070399921180807169</t>
  </si>
  <si>
    <t>https://pbs.twimg.com/media/DtrTDcjXcAEvj0Y.jpg</t>
  </si>
  <si>
    <t>Granada</t>
  </si>
  <si>
    <t>dead inside 7† meto cuchillo, saco tripas Ⓐ🏴 .🌈</t>
  </si>
  <si>
    <t xml:space="preserve">Tayikistán </t>
  </si>
  <si>
    <t>Cataluña es mi tierra. España mi nación. Y como buen madridista, NUNCA me rindo. Con mi escudo o encima de él. Bloqueado por Puigdemont @krls y @pablo_iglesias_</t>
  </si>
  <si>
    <t>EuropaPress Congreso</t>
  </si>
  <si>
    <t>.@Pablo_Iglesias_ , @Albert_Rivera, @JoanTarda y @anioramas pugnarán este año por el Premio al mejor orador del Parlamento  @app</t>
  </si>
  <si>
    <t>https://www.europapress.es/nacional/noticia-pablo-iglesias-albert-rivera-joan-tarda-ana-oramas-candidatos-mejor-orador-parlamento-20181205181052.html</t>
  </si>
  <si>
    <t>Albert Rivera llama a la moderación tras el escrache en Barcelona: "Tenemos que dar la batalla para no estar en manos de extremistas"</t>
  </si>
  <si>
    <t>http://atres.red/fevon1</t>
  </si>
  <si>
    <t>Cuenta oficial de la agencia de noticias Europa Press en el Congreso</t>
  </si>
  <si>
    <t>Manuel Herrada</t>
  </si>
  <si>
    <t>Valls apuesta por un "gran pacto de país" contra los populismos y rechaza tratos con Vox. Que tomen nota @Albert_Rivera y @JuanMarin_Cs</t>
  </si>
  <si>
    <t>https://amp.europapress.es/catalunya/noticia-valls-apuesta-gran-pacto-pais-contra-populismos-rechaza-tratos-vox-20181205145815.html</t>
  </si>
  <si>
    <t>Licenciado en Derecho por la Ual. Progresista Siempre Ángel Despojado</t>
  </si>
  <si>
    <t>Albert Rivera asegura que "la mejor reforma de la Constitución es aplicarla" y pide consensos</t>
  </si>
  <si>
    <t>http://dlvr.it/QswLX9</t>
  </si>
  <si>
    <t>https://pbs.twimg.com/media/Dtrks-9VsAAst7Y.jpg</t>
  </si>
  <si>
    <t>Balanceándose en la cuerda floja para no echarse descaradamente en manos de @vox_es. Qué jodido lo tenéis, @Albert_Rivera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</si>
  <si>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En el acto de Ciudadanos, Albert Rivera ha apelado a la moderación.</t>
  </si>
  <si>
    <t>Madrid, Castilla</t>
  </si>
  <si>
    <t>Llevando la contraria desde Madrid, muriendo por el @RayoVallecano. Me gano la vida como profesional de RRLL.</t>
  </si>
  <si>
    <t>http://atres.red/fevon4</t>
  </si>
  <si>
    <t>Pepe Aparicio</t>
  </si>
  <si>
    <t>Q debe tener guardado Marín sobre @Albert_Rivera para q este ceda el prestigio y el futuro de todo @CiudadanosCs x las ansias de ser Presidente d este sujeto? RT @CiudadanosCs: 👉 @Albert_Rivera “El presidente de la Junta debe ser limpio, con capacidad de diálogo y que no pare de crecer” 🗞 Puedes leer más a continuación:</t>
  </si>
  <si>
    <t>https://twitter.com/ciudadanoscs/status/1070354007888154624
https://www.ciudadanos-cs.org/prensa/rivera-el-presidente-de-la-junta-debe-ser-limpio-con-capacidad-de-dialogo-y-que-no-pare-de-crecer/11142</t>
  </si>
  <si>
    <t>https://pbs.twimg.com/media/DtqpRbGWoAAO-LR.jpg</t>
  </si>
  <si>
    <t>Liberal, Moderado, defensor de valores como familia y amistad. Natural de Aranjuez, apasionado de Valencia. Lo que no soporto es la demagogia. CMU NEBRIJA</t>
  </si>
  <si>
    <t>Más comentados ahora en Derecha/Centro Dcha.: ➀ @ahorapodemos ↓ ➁ @Albert_Rivera ↓ ➂ @JosPastr ↑ ➃ @ldpsincomplejos ↑ ➄ @Santi_ABASCAL ↑ ➅ @josepramonbosch ↓ ➆ @vox_es ↑ ➇ @elmundoes ↓ ➈ @PPopular ↑</t>
  </si>
  <si>
    <t>https://pbs.twimg.com/media/Dtrjk4jWkAAUF0w.jpg</t>
  </si>
  <si>
    <t>Albert Rivera es MÁS FALSO que un billete de 15 Euros RT @CapitanApio: ¯\_(ツ)_/¯</t>
  </si>
  <si>
    <t>https://twitter.com/capitanapio/status/1070072617556680705</t>
  </si>
  <si>
    <t>https://pbs.twimg.com/media/DtmpWUJWoAATJWf.jpg</t>
  </si>
  <si>
    <t>Más influyentes ahora en Derecha/Centro Dcha.: ➀ @JosPastr ↑ ➁ @Albert_Rivera ↑ ➂ @ldpsincomplejos ↑ ➃ @josepramonbosch ↓ ➄ @Santi_ABASCAL ↑ ➅ @elmundoes ↓ ➆ @javiernegre10 ↓ ➇ @alonso_dm ↑ ➈ @juanchoex</t>
  </si>
  <si>
    <t>Flor María Fernández</t>
  </si>
  <si>
    <t>https://okdiario.com/espana/andalucia/2018/12/05/rivera-dispuesto-pacto-pp-sin-descartar-vox-pero-marin-presidente-3430883/amp</t>
  </si>
  <si>
    <t>Blanca Cenizo</t>
  </si>
  <si>
    <t>Los que se llenan la boca de “fascistas” y “libertad de expresión” son los que coartan nuestra libertad para llevar a cabo la conferencia de conmemoración de la constitución con @manuelvalls , @Albert_Rivera e @InesArrimadas . ¡Esto es una democracia señorxs! #Csteam #Democracia</t>
  </si>
  <si>
    <t>Asturias ,Aviles.</t>
  </si>
  <si>
    <t>ESPAÑOLA. ASTURIANA DE AVILÉS.CATOLICA. ORGULLOSA DE SER ESPAÑOLA.</t>
  </si>
  <si>
    <t>https://pbs.twimg.com/media/DtqwvpOXgAEn-yp.jpg</t>
  </si>
  <si>
    <t>Publicidad, Marketing y Relaciones Públicas. Ciudadanos🍊. Catalana, Española, Europea y ciudadana del mundo.</t>
  </si>
  <si>
    <t>La estrategia de PSOE / Podemos es criminalizar a VOX para condicionar la decisión de @CiudadanosCs y Albert Rivera de ese modo no pactar con VOX y seguir la corrupción del PSOE y la izquierda en Andalucía #PuenteConstitucion2018 #JaqueAlRégimenDel78 #SomosLaAudiencia5D</t>
  </si>
  <si>
    <t>Max Rockatansky</t>
  </si>
  <si>
    <t>El independentismo ultima un pacto con @CiudadanosCs y PSC para el reparto de cargos en TV3 y Catalunya Ràdio:  Espero que esta noticia sea una broma de mal gusto. @GirautaOficial @Albert_Rivera @InesArrimadas</t>
  </si>
  <si>
    <t>https://www.elmundo.es/cataluna/2018/12/05/5c07ea1bfdddffd5598b4752.html</t>
  </si>
  <si>
    <t>Queensland, Australia</t>
  </si>
  <si>
    <t>Mi nombre es Max. Mi mundo es fuego. Y sangre.</t>
  </si>
  <si>
    <t>Tatxu 🌈</t>
  </si>
  <si>
    <t>Espera, que les etiqueto: @Albert_Rivera @begonavillacis @bsemper @ALevySoler y #JavierMaroto RT @sotosinmas: En 2017, Rivera, Villacís, Levy, Semper y Maroto se manifestaban en el World Pride reclamando los derechos LGTB en todo el mundo. Hoy no descartan pactar un partido que lleva en su programa la medida anticonstitucional de eliminar el matrimonio igualitario. VERGÜENZA Y ASCO.</t>
  </si>
  <si>
    <t>https://twitter.com/sotosinmas/status/1070350669733863424</t>
  </si>
  <si>
    <t>https://pbs.twimg.com/media/DtqlpU3WoAEyQVd.jpg</t>
  </si>
  <si>
    <t>De Bilbao, pero vivo en Barcelona. Me han dicho que es aquí lo de las risas, ¿no?</t>
  </si>
  <si>
    <t>Albert Martínez</t>
  </si>
  <si>
    <t>Esta muy mal pactar para renovar el CGPJ pero superbien dejar que los indepes sigan con su chiringuito. @Albert_Rivera no es que no quieras pasteleo sinó que lo que quieres es meter chucharada. RT @elperiodico: 🔴ÚLTIMA HORA| El Govern pacta la cúpula de TV3 y Catalunya Ràdio con @ciudadanoscs y @socialistes_cat 👤 @saulgordillo presidirá la CCMA</t>
  </si>
  <si>
    <t>Canet de Mar, España</t>
  </si>
  <si>
    <t>Liberal, mediterráneo, soñador, testarudo y apasionado por la política. Presidente del PP de Canet. He creado este Twitter para aprender. ¿Aprendemos juntos?</t>
  </si>
  <si>
    <t>http://albertmartinezc.blogspot.com.es/</t>
  </si>
  <si>
    <t>Comenta con José</t>
  </si>
  <si>
    <t>Andalucía, España 🇪🇸</t>
  </si>
  <si>
    <t>Informático, Blogger, Comentarista, CommunityManager, Consejero, Amigo https://www.instagram.com/comentaconjose https://facebook.com/comentaconjose</t>
  </si>
  <si>
    <t>https://comentaconjose.blogspot.com.es/</t>
  </si>
  <si>
    <t>Ana Vázquez Blanco</t>
  </si>
  <si>
    <t>#Ciudadanos🍊se ha repartido con el Gobierno de Torra y el PSC la cúpula de TV3....Para esto si se pone de acuerdo @Albert_Rivera 😡 RT @ESdiario_com: Cs entra en el Consejo de TV3 pero seguirá controlada por los independentistas</t>
  </si>
  <si>
    <t>https://twitter.com/esdiario_com/status/1070356518174904326
http://goo.gl/Ai7Yoa</t>
  </si>
  <si>
    <t>https://pbs.twimg.com/media/Dtqrk53XcAALaIx.jpg</t>
  </si>
  <si>
    <t>RTn #Girona</t>
  </si>
  <si>
    <t>#Gerona #Girona Albert Rivera asegura que "la mejor reforma de la Constitución es aplicarla" y pide consensos</t>
  </si>
  <si>
    <t>https://ift.tt/2PmTgtF</t>
  </si>
  <si>
    <t>Bande, España</t>
  </si>
  <si>
    <t>Ourensana.Diputada.Secretaria Nacional Emigración @PPopular @pp_exterior De centro e galeguista.Portavoz d Modelo Policial👮‍♀️Seguridad Nacional #CreoenOurense</t>
  </si>
  <si>
    <t>http://www.gppopular.es/diputados/ana-belen-vazquez/</t>
  </si>
  <si>
    <t>Gerona, Cataluña</t>
  </si>
  <si>
    <t>Noticias de #Gerona</t>
  </si>
  <si>
    <t>http://triangol.agency</t>
  </si>
  <si>
    <t>📰 Te recomendamos el artículo de @Albert_Rivera sobre los 40 años de Constitución en @20m 🗣️ "La Constitución española de 1978 es una de las mejores del mundo. Eso es una realidad jurídica, política e histórica irrebatible" 👉</t>
  </si>
  <si>
    <t>https://bit.ly/2E38MJd</t>
  </si>
  <si>
    <t>https://pbs.twimg.com/media/DtpDaCXW4AAY-d0.jpg</t>
  </si>
  <si>
    <t>Alfonso Rojo López</t>
  </si>
  <si>
    <t>Albert Rivera ve irresponsable descartar una negociación con VOX en Andalucía</t>
  </si>
  <si>
    <t>https://www.periodistadigital.com/politica/partidos-politicos/2018/12/05/albert-rivera-ve-irresponsable-descartar-una-negociacion-con-vox-en-andalucia.shtml</t>
  </si>
  <si>
    <t>Director de Periodista Digital. Cuenta Oficial</t>
  </si>
  <si>
    <t>http://www.periodistadigital.com</t>
  </si>
  <si>
    <t>Nacho</t>
  </si>
  <si>
    <t>Tenía yo muchas dudas de que el amiguete @Albert_Rivera iba a tener reparos en pactar con @vox_es... Anonadado me hallo RT @el_pais: AMPLIACIÓN | Rivera ve "irresponsable" excluir a VOX de las negociaciones en Andalucía. Sin embargo, el candidato que apoyan para la alcaldía de Barcelona, @manuelvalls, ha dicho esta mañana: "No puede haber ningún pacto con la extrema derecha"</t>
  </si>
  <si>
    <t>Román Álvarez</t>
  </si>
  <si>
    <t>Vergonzoso lo que ha vuelto a pasar hoy en Cataluña con los independentistas increpando a Albert Rivera, pero lo más lamentable es que el Presidente del Gobierno mire para otro lado...Hasta cuando...?.</t>
  </si>
  <si>
    <t>Soy muy exigente conmigo mismo, obseso del orden y español hasta la médula. Si me sigues te sigo.</t>
  </si>
  <si>
    <t>Estadio Vicente Calderon</t>
  </si>
  <si>
    <t>AdEU Espanya🎗️</t>
  </si>
  <si>
    <t>🔴⚪🔴</t>
  </si>
  <si>
    <t>https://www.instagram.com/nachete91/</t>
  </si>
  <si>
    <t>http://dlvr.it/QswFLx</t>
  </si>
  <si>
    <t>https://pbs.twimg.com/media/Dtre5inUUAAaAa1.jpg</t>
  </si>
  <si>
    <t>República de Catalunya.</t>
  </si>
  <si>
    <t>--5 anys piulant raons per la #Independència. -- "Quan una llei és injusta, el correcte és desobeir". (Gandhi) #HelpCatalonia. RT ≠ Not Endorsement.</t>
  </si>
  <si>
    <t>la loca china🇪🇸🇨🇳🇪🇸🇪🇸🇪🇸🇪🇸</t>
  </si>
  <si>
    <t>Al mismo @Albert_Rivera Que acusa @ahorapodemos de cocainomano? Nooooooo, es imposible ese pacto RT @qqqqetru: ÚLTIMA HORA...Ciudadanos se alía con IGLESIAS.. después de sus actos vandálicos...a RIVERA también se le ha caído la careta!</t>
  </si>
  <si>
    <t>Ray García</t>
  </si>
  <si>
    <t>Hoy vine a cenar a casa de mis padres. Tienen informativos Telecinco puesto. 1. Albert Rivera increpado por independentistas radicales. 2. Fuego y llamas en Andalucia. Movimiento radical increpado por Pablo Iglesias. Que sí, que hay mil lecturas, pero no deja de sorprenderme.</t>
  </si>
  <si>
    <t>Española, Andaluza, Granaina, china, inmigrante legal en China. Antiperroflautas y podemonguer que tienen justo 1 neurona para no mearse encima</t>
  </si>
  <si>
    <t>Murciano, padre y perfecto esposo. Co-Founder&amp;CTO en @Team_EQi. Orgulloso zurdo. Tengo una PS4 y sólo juego remasterizados de la 3. #Retiario4ever</t>
  </si>
  <si>
    <t>Antonio Rossi</t>
  </si>
  <si>
    <t>Hay mucho “degenerado” suelto. Y es de lo que no se da cuenta. Para mi ser degenerado es un piropo, si viene de ella más. Gracias @CiudadanosCs @Cs_Madrid @Albert_Rivera</t>
  </si>
  <si>
    <t>Natoly ॐ</t>
  </si>
  <si>
    <t>Entre los abucheos independentistas a Albert Rivera habia una chica asiática gritando como si la vida le fuera en ello, hasta donde llega el adoctrinamiento en Cataluña ??</t>
  </si>
  <si>
    <t>pic.twitter.com/w0IU2NzKCP</t>
  </si>
  <si>
    <t>Un ciudadano más de este inmenso planeta llamado Mundo; Ateo, Antitaurino y sobre todo defensor y amante de los animales #NeverStopExploring🌲🌳🍀</t>
  </si>
  <si>
    <t>http://instagram.com/__natoly__</t>
  </si>
  <si>
    <t>Periodista en http://www.telecinco.es , MBA en el IE y Triatleta. Tv host.</t>
  </si>
  <si>
    <t>http://lrzn.es/gt8bv1</t>
  </si>
  <si>
    <t>https://pbs.twimg.com/media/Dtqnln2XgAASmKv.jpg</t>
  </si>
  <si>
    <t>Badalona a domicilio</t>
  </si>
  <si>
    <t>#Badalona Albert Rivera asegura que "la mejor reforma de la Constitución es aplicarla" y pide consensos</t>
  </si>
  <si>
    <t>http://bit.ly/2KXEeKr</t>
  </si>
  <si>
    <t>👉 @Albert_Rivera “El presidente de la Junta debe ser limpio, con capacidad de diálogo y que no pare de crecer” 🗞 Puedes leer más a continuación:</t>
  </si>
  <si>
    <t>Badalona - Tfno. 622911057</t>
  </si>
  <si>
    <t>Servicio a domicilio en #Badalona #SantAdria #SantaColoma y #Barcelona: Pienso y alimentos para perros y gatos.</t>
  </si>
  <si>
    <t>http://atukasabadalona.kingeshop.com</t>
  </si>
  <si>
    <t>Dani Lovsky</t>
  </si>
  <si>
    <t>Albert Rivera y Ciudadanos dando pena, da igual cuando leas esto.</t>
  </si>
  <si>
    <t>Todo lo comento. Documentalista en “El programa de Ana Rosa”. Antes en “Sálvame”, “Viva la vida” y “España mira a La Meca“ de @telecincoes</t>
  </si>
  <si>
    <t>http://www.instagram.com/dani_lovsky</t>
  </si>
  <si>
    <t>Josema 🇪🇸</t>
  </si>
  <si>
    <t>Bravo sr @Albert_Rivera Ya estaba pensando de usted lo peor RT @FrayJosepho: Buena cosa.</t>
  </si>
  <si>
    <t>Albert Rivera ya pactó con ultras. No sé le van a caer los anillos hacerlo otra vez. Ni que fueran sus enemigos...</t>
  </si>
  <si>
    <t>https://twitter.com/FrayJosepho/status/1070352630352961537
https://twitter.com/libertaddigital/status/1070315876803522561</t>
  </si>
  <si>
    <t>Úbeda, España</t>
  </si>
  <si>
    <t>Apoyo a Vox,Ciudadanos,PP,UPD,...o sea q soy un facha de extrema. La censura de twiter no me deja decir lo q pienso de la basura comunista🇪🇸</t>
  </si>
  <si>
    <t>Francisco del Brío</t>
  </si>
  <si>
    <t>Los alemanes cuando votaron a Hitler también querían un cambio, fueron a por un cambio y tuvieron un cambio, ellos y el resto del mundo Parece que no aprendemos, bueno es @Albert_Rivera quien no aprende RT @Albert_Rivera: Hoy estamos reunidos en una Ejecutiva nacional extraordinaria para afrontar la negociación del gobierno de la Junta de Andalucía. Los ciudadanos votaron cambio, vamos a por el cambio.</t>
  </si>
  <si>
    <t>https://twitter.com/albert_rivera/status/1070277976313524224</t>
  </si>
  <si>
    <t>Noelia</t>
  </si>
  <si>
    <t>Una persona decente no iría a Barcelona a celebrar la constitución y una persona decente no se pondría a grabar cómo le abuchean en un sitio en el que no le quieren, pero albert rivera no es una persona decente</t>
  </si>
  <si>
    <t>https://pbs.twimg.com/media/DtpkJA3XcAEL6mh.jpg</t>
  </si>
  <si>
    <t>what’s the tea the girls are fighting</t>
  </si>
  <si>
    <t>http://Instagram.com/noeliahideko</t>
  </si>
  <si>
    <t>Periodista sin adjetivos y con la duda como principio. Sólo enemigo de todo tipo de fundamentalísimos, fanatismo y adoctrinamientos</t>
  </si>
  <si>
    <t>🎄Temporada de raves🎄</t>
  </si>
  <si>
    <t>Albert Rivera me recuerda a Dalas</t>
  </si>
  <si>
    <t>📍Madrid</t>
  </si>
  <si>
    <t>¿Un pezón es un pez grande?</t>
  </si>
  <si>
    <t>http://Instagram.com/itsalegomez</t>
  </si>
  <si>
    <t>Mikel</t>
  </si>
  <si>
    <t>Voy a ser Albert Rivera RT @cai_nyabel: Juguemos, cuál será tu logro en 2019?</t>
  </si>
  <si>
    <t>Poway,California</t>
  </si>
  <si>
    <t>Descubriéndome.</t>
  </si>
  <si>
    <t>🥺@Cs_Andalucia @JuanMarin_Cs @Albert_Rivera NO 🎵🎶Tu me acostumbraaste a todas esas cosas y tu me enseñaastes que són maravillosas 🎵 Y es que te has convertido en parte de mi aalma 🎵 te dare a ti y a los tuuyos mordidiiitas callaadas ...🎵🎵 🥁🎷🎸</t>
  </si>
  <si>
    <t>https://pbs.twimg.com/media/DsT3l10WwAAcNfm.jpg</t>
  </si>
  <si>
    <t>Muchas gracias a los cientos de barceloneses que han desbordado el auditorio para celebrar #40AñosDeConstitución. Ha sido un placer defender la libertad, la unión y la democracia en mi tierra junto a dos personas a las que admiro: @InesArrimadas y @manuelvalls.</t>
  </si>
  <si>
    <t>https://pbs.twimg.com/media/DtrdDCmWsAQHTve.jpg</t>
  </si>
  <si>
    <t>Jorge San Miguel Lobeto</t>
  </si>
  <si>
    <t>Enhorabuena a los finalistas @Albert_Rivera, @CiudadanoVille, @MelisaRguezCs, @GuillermoDiazCs, @Lroldansu y Javier Nart RT @APP_Cortes: Ya tenemos los finalistas a los #PremiosAPP2018</t>
  </si>
  <si>
    <t>Siracusa</t>
  </si>
  <si>
    <t>Comunicación en @CsCongreso. Politólogo y otras cosas. Coautor de #LaUrnaRota. Tweets ENG-ESP, my own both. Que la vida iba en serio</t>
  </si>
  <si>
    <t>https://medium.com/@JorgeSMiguel</t>
  </si>
  <si>
    <t>slp</t>
  </si>
  <si>
    <t>Y estos son los parlamentarios nominados este año. Atención al Emilio Castelar: @anioramas @JoanTarda @Albert_Rivera y @Pablo_Iglesias_ RT @APP_Cortes: Ya tenemos los finalistas a los #PremiosAPP2018</t>
  </si>
  <si>
    <t>Periodista de @EFEnoticias. Pasilleando en el Congreso y persiguiendo a Podemos.</t>
  </si>
  <si>
    <t>Bárbara</t>
  </si>
  <si>
    <t>Más comentados ahora en Derecha/Centro Dcha.: ➀ @ahorapodemos ↓ ➁ @Albert_Rivera ↓↓ ➂ @Santi_ABASCAL ↑ ➃ @sanchezcastejon ↑ ➄ @vox_es ↑ ➅ @ldpsincomplejos ↓ ➆ @JosPastr ↓ ➇ @elmundoes ↑ ➈ @josepramonbosch ↑</t>
  </si>
  <si>
    <t>Más influyentes ahora en Derecha/Centro Dcha.: ➀ @Albert_Rivera ↓ ➁ @Santi_ABASCAL ↓ ➂ @ldpsincomplejos ↓ ➃ @JosPastr ↓ ➄ @josepramonbosch ↑ ➅ @elmundoes ↑ ➆ @javiernegre10 ↓ ➇ @alonso_dm ↑↑↑ ➈ @Miotroyo2parte ↑</t>
  </si>
  <si>
    <t>Angel Diaz</t>
  </si>
  <si>
    <t>Abascal: "Albert Rivera es como un toro manso, no sabes por dónde va a salir"</t>
  </si>
  <si>
    <t>Almendralejo, España</t>
  </si>
  <si>
    <t>Cuando alguien te diga que no puedes hacer algo, recuerda que está hablando de sus limitaciones y no de las tuyas.</t>
  </si>
  <si>
    <t>http://historiaextremaduracf.blogspot.com/2017/03/presentacion.html?m=1</t>
  </si>
  <si>
    <t>CRITICO E INDOMITO.</t>
  </si>
  <si>
    <t>M.Dolores García</t>
  </si>
  <si>
    <t>Sin ciencia la sociedad no avanza 🙇‍♀️ Tenemos en Murcia uno de los equipos punteros en Ciencia 👉Enhorabuena a @pablo_artal y @lo_um por ese #PremioNacionalDeInvestigaciónJuanDeLaCierva 🥇 @voptica @CienciaGob @astro_duque @CsRegionMurcia @Albert_Rivera RT @Lo_um: Enhorabuena @pablo_artal de parte de todos los que trabajamos en el Loum! @UMU Hoy ha sido galardonado con Premio Nacional ‘Juan de la Cierva’ de Transferencia de Tecnología. Muy merecido 👏👏</t>
  </si>
  <si>
    <t>OPPIDUM NUMANCIA</t>
  </si>
  <si>
    <t>Celtibero.Tribu Arevacos.Republicano. Jacobino.Agnostico.Ultraconservador..Leal.Valiente.Decente.----------------</t>
  </si>
  <si>
    <t>https://twitter.com/Lo_um/status/1070327276154191873
http://www.ciencia.gob.es/portal/site/MICINN/menuitem.edc7f2029a2be27d7010721001432ea0/?vgnextoid=fcd3b15315e77610VgnVCM1000001d04140aRCRD&amp;vgnextchannel=4346846085f90210VgnVCM1000001034e20aRCRD</t>
  </si>
  <si>
    <t>Coordinadora ejecutiva de Organización de Cs🍊- CT 6- Región de Murcia. Creo en política útil ✌ Amo la fotografía 📸 Española ➡️1/2 Murciana➕1/2 Salmantina 🤗</t>
  </si>
  <si>
    <t>http://murcia.ciudadanos-cs.org</t>
  </si>
  <si>
    <t>Pretoriano</t>
  </si>
  <si>
    <t>Con el voto a favor de @CiudadanosCs @Albert_Rivera @GirautaOficial @InesArrimadas ....llegaran a tú casa y entrarán sin orden judicial... tú mismo. RT @eslatarde: Ciudadanos apoya una disparatada ley animalista en La Rioja: inspecciones en casa, autopsias obligatorias... 🐶🐱 @libre_mercado @libertaddigital</t>
  </si>
  <si>
    <t>https://twitter.com/eslatarde/status/1070345298504048640
https://www.libertaddigital.com/ciencia-tecnologia/ciencia/2018-12-05/la-rioja-permitira-a-funcionarios-acceder-libremente-a-las-casas-para-comprobar-el-estado-de-las-mascotas-1276629389/</t>
  </si>
  <si>
    <t>A Coruña, Galicia</t>
  </si>
  <si>
    <t>Bloqueo si insultas</t>
  </si>
  <si>
    <t>#anagallardocs</t>
  </si>
  <si>
    <t>Sobre la verdad y medios 📺🗞️📰📻📲📶💻Popular 4 años #España #Andalucia a 500 metros manipulaciones toxicas por segundo 🔴"Caminando en linea recta,¿sabe? @Albert_Rivera @CiudadanosCs uno no puede llegar tan lejos" El Principito📖 #EleccionesAndalucia</t>
  </si>
  <si>
    <t>https://pbs.twimg.com/media/Ch8se7xWMAEYMvi.jpg</t>
  </si>
  <si>
    <t>España-Málaga-Torremolinos Fuengirola-Marbella-Estepona, de ida y de vuelta</t>
  </si>
  <si>
    <t>De mi Málaga guardo,la inocencia,las luces,la vida,ese latir que en mi palpitaba🇪🇸❇️#anagallardocs #administracion #profesional #RedesSociales #MarketingDigital</t>
  </si>
  <si>
    <t>http://mas45-empleo-andalucia.simplesite.com/</t>
  </si>
  <si>
    <t>Miguel Anxo</t>
  </si>
  <si>
    <t>¿Qué partido político intentó también poner arriba en la agenda política hace unos meses el tema de la 'okupación' de pisos...? Cc. @Albert_Rivera @CiudadanosCs RT @vox_es: 💰 El plan económico de VOX para España: desalojo inmediato de okupas, IRPF único del 20%, pensiones mixtas...  vía @libre_mercado @libertaddigital</t>
  </si>
  <si>
    <t>https://twitter.com/vox_es/status/1070339601183752194
https://www.libremercado.com/2018-12-05/el-plan-economico-de-vox-para-espana-desalojo-inmediato-de-okupas-irpf-unico-del-20-pensiones-mixtas-1276629399/</t>
  </si>
  <si>
    <t>Enrique de Diego</t>
  </si>
  <si>
    <t>Pedro J Ramírez, obsesionado contra Vox, impone sus criterios a Albert Rivera - Rambla Libre</t>
  </si>
  <si>
    <t>Socialdemócrata Sueco. Trust-buster. Mus in pice. Milicia es la vida del hombre contra la malicia del hombre.</t>
  </si>
  <si>
    <t>http://pisma27.wordpress.com</t>
  </si>
  <si>
    <t>http://ramblalibre.com/2018/12/05/pedro-j-ramirez-obsesionado-contra-vox-impone-sus-criterios-a-albert-rivera/#.XAgvqBSPLp8.twitter</t>
  </si>
  <si>
    <t>Periodista y escritor. Presidente de Plataforma de las Clases Medias. Autor de Casta parasitaria, El manifiesto de las clases medias y La monarquía inútil</t>
  </si>
  <si>
    <t>http://www.ramblalibre.com</t>
  </si>
  <si>
    <t>øīå</t>
  </si>
  <si>
    <t>No te hagas el duro @Albert_Rivera , que ya podemos ver como le estás metiendo la mano en los pantalones RT @eldiarioes: Rivera no descarta pactos con Vox para hacer posible un "gobierno del cambio" en Andalucía  Informa @carmoraga</t>
  </si>
  <si>
    <t>https://twitter.com/eldiarioes/status/1070342784610123776
https://www.eldiario.es/politica/Albert_Rivera-Ciudadanos-Andalucia-pactos-PP-Vox_0_843065834.html</t>
  </si>
  <si>
    <t>https://pbs.twimg.com/media/DtqeT4cW4AUztCF.jpg</t>
  </si>
  <si>
    <t>Truñito 1°/Clamardón/NEXTX3N</t>
  </si>
  <si>
    <t>Lo que importa es la intención, la razón por la que escoges tu camino. Esa es la única decisión real que tenemos que tomar. 3,2,1, let's Jam</t>
  </si>
  <si>
    <t>http://www.instagram.com/UnAlemanRager/</t>
  </si>
  <si>
    <t>🇪🇸tabarnés 🇪🇸 (🎗= 💩)</t>
  </si>
  <si>
    <t>Para mi que la estáis cagando mucho con el tema de la presidencia @Albert_Rivera, yo te he escuchado siempre decir que apoyarías siempre a la formación más votada. Si faltas a tu propia palabra lo pagarás en las urnas en las generales... sería una lástima</t>
  </si>
  <si>
    <t>El Periódico Cultura</t>
  </si>
  <si>
    <t>http://elperiodi.co/midpg1</t>
  </si>
  <si>
    <t>Húsar de Pavía, Ciclista y Conductor, Zamarrillero, Catalán de #Tabarnia y Malagueño... A ESPAÑA SERVIR HASTA MORIR!!</t>
  </si>
  <si>
    <t>Sección de Cultura de El Periódico, el diario de referencia de Catalunya (@elperiodico) En catalán: @EPcultura_cat</t>
  </si>
  <si>
    <t>http://www.elperiodico.com/es/ocio-y-cultura/</t>
  </si>
  <si>
    <t>.@Albert_Rivera cree 'irresponsable' descartar un pacto con @Vox</t>
  </si>
  <si>
    <t>http://www.elindependientedegranada.es/politica/rivera-cree-irresponsable-descartar-pacto-con-vox</t>
  </si>
  <si>
    <t>https://pbs.twimg.com/media/DtqeSLlWkAAc0yo.jpg</t>
  </si>
  <si>
    <t>Rivera no descarta pactos con Vox para hacer posible un "gobierno del cambio" en Andalucía por Responsabilidad, si Rivera lo ve en su pacto con VOX, yo lo digo alto y claro, ⁦@Albert_Rivera⁩ y ⁦@CiudadanosCs⁩ son LA EXTREMA derecha = Lepen</t>
  </si>
  <si>
    <t>https://m.eldiario.es/politica/Albert_Rivera-Ciudadanos-Andalucia-pactos-PP-Vox_0_843065834.html</t>
  </si>
  <si>
    <t>emeliø</t>
  </si>
  <si>
    <t>Seryi se acaba de hacer una foto con Albert Rivera</t>
  </si>
  <si>
    <t>⚡@sadmylio⚡</t>
  </si>
  <si>
    <t>http://xn--emeli-zua.com</t>
  </si>
  <si>
    <t>😀 Celebra con Cs los 40 años de constitucionalismo 👉 ¡A partir de las 19h te esperamos junto a @Albert_Rivera, @InesArrimadas y @manuelvalls 📍 En el Auditorio del Conservatorio Liceu de Barcelona</t>
  </si>
  <si>
    <t>https://pbs.twimg.com/media/Dtqcq19XgAABBK2.jpg</t>
  </si>
  <si>
    <t>📽 @Albert_Rivera "Lo mejor que podría hacer el señor Tezanos es dimitir tras el batacazo de Andalucía; que el CIS diga ahora que el PSOE lidera en intención de voto es una vergüenza" #ActualidadCs</t>
  </si>
  <si>
    <t>abraxas</t>
  </si>
  <si>
    <t>Albert Rivera va al gimnasio RT @archillect:</t>
  </si>
  <si>
    <t>pic.twitter.com/k8zolDbkGI</t>
  </si>
  <si>
    <t>Madrid-Boulder-Stalingrado</t>
  </si>
  <si>
    <t>ADRV - oasis</t>
  </si>
  <si>
    <t>http://instagram.com/ivanestupidov</t>
  </si>
  <si>
    <t>FRICO</t>
  </si>
  <si>
    <t>Para @ahorapodemos fue fascista el @PPopular , después @CiudadanosCs llamaron de todo @Albert_Rivera , ahora le toca a @vox_es . A los primeros les llaman ahora derecha razonable , menudos caraduras, todavía no hemos oido ninguna reflexión de su perdida de votos #TiempoPactosARV</t>
  </si>
  <si>
    <t>Le</t>
  </si>
  <si>
    <t>Español, madrileño y pepinero.</t>
  </si>
  <si>
    <t>JL 🐸🇪🇸</t>
  </si>
  <si>
    <t>Separatistas catalanes insultan,agreden y escupen a @manuelvalls en Barcelona,pero el problema somos "los radicales de #Vox". Sigue así,@Albert_Rivera,te está quedando un "Rosa Díez v2.0" cojonudo. Como votante y afiliado de Vox,osndoy las gracias a ambos por hacernos la campaña.</t>
  </si>
  <si>
    <t>Políticamente incorrecto. De Vox. Heteropatriarcal y ultracatóliconeoliberal. Y FACHA. Bloqueador de gilipollas nivel experto. HARTO DE OFENDIDOS PROFESIONALES.</t>
  </si>
  <si>
    <t>La Opinión de Murcia</t>
  </si>
  <si>
    <t>.@Albert_Rivera considera una "irresponsabilidad" descartar pactos con @vox_es  #Andalucía</t>
  </si>
  <si>
    <t>☕ Chrom Osome</t>
  </si>
  <si>
    <t>La señal inequívoca de que una persona ha vendido su alma por completo es que, al hablar, sólo se le ven los dientes inferiores. Primero le pasó a Jorge Javier Vázquez y ahora a Albert Rivera.</t>
  </si>
  <si>
    <t>https://www.laopiniondemurcia.es/nacional/2018/12/05/manuel-valls-haber-pacto-vox/978249.html</t>
  </si>
  <si>
    <t>living in a constant state of fear and misery.</t>
  </si>
  <si>
    <t>http://instagram.com/hescritor</t>
  </si>
  <si>
    <t>El periódico de actualidad y opinión de la Región de Murcia, con el que estarás informado de todo al instante.</t>
  </si>
  <si>
    <t>https://www.laopiniondemurcia.es</t>
  </si>
  <si>
    <t>SonriieSiiempre ツ</t>
  </si>
  <si>
    <t>De #Sevillanasmaneras! Celebrando el hundimiento de @psoedeandalucia y la victoria de @vox_es al que voté! No TODO vale @JuanMarin_Cs @Albert_Rivera el cambio es #PpCsVox nada con el @PSOE o lo LAMEMTAREIS en las GENERALES! #VIVAESPAÑA Y #VIVAVOX #EXTREMA...NECESIDAD! #CAMBIOREAL</t>
  </si>
  <si>
    <t>https://pbs.twimg.com/media/DtqaxflWoAAIXgb.jpg</t>
  </si>
  <si>
    <t>Xaloc Moliner</t>
  </si>
  <si>
    <t>(y 2) Y aquí tenemos a los que desplegarán el programa...</t>
  </si>
  <si>
    <t>Pon todo tu corazón, tu alma y tu mente en todo lo que hagas! #UnAlmaLibre #SonrieSiempre #AmiManera ❥#17ツ!</t>
  </si>
  <si>
    <t>https://www.lavanguardia.com/politica/20181205/453377887754/ciudadanos-albert-rivera-prioriza-pacto-pp-andalucia-irresponsable-descartar-vox-santiago-abascal.html?utm_campaign=botones_sociales_app</t>
  </si>
  <si>
    <t>Kramer I de Tabarnia🔱</t>
  </si>
  <si>
    <t>Sres. de @CiudadanosCs ,después de haberles votado en las 3 últimas elecciones me están ustedes abocandoa la abstención en Barcelona presentando a un candidato perdedor como @manuelvalls que no me representa. Por su equivocación tendremos 4 años más de desastre. @Albert_Rivera</t>
  </si>
  <si>
    <t>Mercè Escofet Sala</t>
  </si>
  <si>
    <t>Éxito de asistencia al acto de #40añosDeConstitucionalismo con Albert Rivera, Inés Arrimadas y Manuel Valls. El intento de boicot de los "democrátas" no ha podido callarnos #NoNosCallarán</t>
  </si>
  <si>
    <t>https://pbs.twimg.com/media/DtrWXCKWkAEOYMm.jpg</t>
  </si>
  <si>
    <t>Consellera Grup Municipal Cs.Districte Sarrià-Sant Gervasi @Cs_Sarria.Catalana,Espanyola i Europea.Llicenciada en Ciències Polítiques i de l'Administració (UPF)</t>
  </si>
  <si>
    <t>http://instagram.com/merceesco</t>
  </si>
  <si>
    <t>Catalán, Español, Europeo y del Espanyol. Fato, Charnego,Tabarnés y liberal por libre. Malleus Maleficarum-El Martillo De Los Progres. TABARNIA IS NOT TRACTORIA</t>
  </si>
  <si>
    <t>Manuel Gonzalez</t>
  </si>
  <si>
    <t>No sé yo sí el señor @Albert_Rivera es consciente de cuán perjudicial va a ser para su partido pactar con Vox. Sobre todo en Catalunya.</t>
  </si>
  <si>
    <t>Francisco Mayans</t>
  </si>
  <si>
    <t>Astrocoplero. De pueblo. Alegre. Salao. Lo mismo para un roto que para un descosío. He tenido mucho éxito con el fandango. Manuela de la Tormenta. #BigVan</t>
  </si>
  <si>
    <t>https://es.linkedin.com/in/manuel-gonzález-garcía-b50004108</t>
  </si>
  <si>
    <t>ROSARIO AGUILAR</t>
  </si>
  <si>
    <t>Lamentable !!! España con esta gente quiere dar un retroceso increíble !! @Albert_Rivera @CiudadanosCs @JuanMarin_Cs @PPopular esto es vuestro resultado ...y encima decís ser constitucionalistas 🤔#Vergüenza ! Ser felices estos días que pronto os desinfláis 😘🙏🏼 RT @CervantesFAQs: Sánchez Dragó de @vox_es "No debería existir ni la sanidad ni la educación públicas". Esto nos espera con esta gentuza. ¡DIFUNDE!</t>
  </si>
  <si>
    <t>https://twitter.com/cervantesfaqs/status/1069678486321811461</t>
  </si>
  <si>
    <t>https://pbs.twimg.com/media/DthDL0jWoAE5PZi.jpg</t>
  </si>
  <si>
    <t>España, Madrid , Arequipa</t>
  </si>
  <si>
    <t>Hay que caminar hacia la Igualdad #PedroZerolo #DDHH #Igualdad #VivircadaMomento</t>
  </si>
  <si>
    <t>Valoración de los líderes políticos. Ninguno aprueba. @sanchezcastejon 3.9 @Albert_Rivera 3.5 @pablo_iglesias 3 @pablocasado_ 3</t>
  </si>
  <si>
    <t>https://amp.lasexta.com/noticias/nacional/el-cis-suspende-a-los-politicos-sanchez-roza-el-4-rivera-baja-medio-punto-e-iglesias-y-casado-se-instalan-en-el-3_201812055c07e3570cf222fc94edb830.html?__twitter_impression=true</t>
  </si>
  <si>
    <t>turminder xuss</t>
  </si>
  <si>
    <t>la cara de Albert Rivera y @InesArrimadas en el evento con @manuelvalls en el q este último les da lecciones de democracia. alucinante.</t>
  </si>
  <si>
    <t>*w*i*n*t*e*r* Private opinions. RT does not mean endorsement.</t>
  </si>
  <si>
    <t>Poque un camión se lleva documentos de la Junta de Andalucía en Cádiz a un destino desconocido? @UEmadrid @CasaReal @sanchezcastejon @pablocasado_ @Pablo_Iglesias_ @Albert_Rivera</t>
  </si>
  <si>
    <t>https://www.cope.es/n/304460</t>
  </si>
  <si>
    <t>Diario SUR</t>
  </si>
  <si>
    <t>.@Albert_Rivera dará prioridad a negociar con el @PPopular un Gobierno de «cambio» en #Andalucía pero con @JuanMarin_Cs de presidente #EleccionesAndaluzas #2D</t>
  </si>
  <si>
    <t>https://www.diariosur.es/elecciones/andaluzas/rivera-dice-irresponsable-20181205141401-nt.html#ns_campaign=gs-ms&amp;ns_mchannel=diariosur&amp;ns_source=tw&amp;ns_linkname=ltl</t>
  </si>
  <si>
    <t>#Noticias de #últimahora de #Málaga, España y el mundo. En WhatsApp ☎ 660481739.</t>
  </si>
  <si>
    <t>http://www.diariosur.es</t>
  </si>
  <si>
    <t>Scaramouche</t>
  </si>
  <si>
    <t>Dos conclusiones: 1ª.- ¿Quién es Valls, ahora mismo alcaldable que no aspirante a la Junta de Andalucía,, para rechazar o no tratos con VOX? 2ª.- Vaya marrón te has buscado @Albert_Rivera sin necesidad alguna siendo la primera fuerza política de Cataluña. RT @manuelvalls: Manuel Valls apuesta por un "gran pacto de país" contra los populismos y rechaza tratos con Vox</t>
  </si>
  <si>
    <t>Martí Abad</t>
  </si>
  <si>
    <t>Más irresponsable es que, según el @elmundoes, el PP vaya a estudiar la petición de VOX de cerrar Canal Sur. Pero teniendo en cuenta que con el 155 Ciudadanos quiso intervenir TV3 y pidió que la controlara el Senado...</t>
  </si>
  <si>
    <t>Norte de España</t>
  </si>
  <si>
    <t>Estoy solo y no hay nadie en el espejo. -Jorge Luis Borges-</t>
  </si>
  <si>
    <t>Roma, Lazio</t>
  </si>
  <si>
    <t>Periodisme a la UAB - Erasmus a Roma. Reporter del #BlogEuropa del @canal_33. Sigo al FC Barcelona en @VAVELcom. Un estiu a @elpuntavui. @Radiospuni 2018.</t>
  </si>
  <si>
    <t>http://linkedin.com/in/martí-abad-fontàs-180781137</t>
  </si>
  <si>
    <t>Soutiens Valls 68</t>
  </si>
  <si>
    <t>#España echa en falta un relato que nos una, que no divida. Es nuestra obligación inventar un patriotismo que genere convivencia. #40AñosDeConstitución⁠ cc Albert_Rivera InesArrimadas</t>
  </si>
  <si>
    <t>Estás acabado @Pablo_Iglesias_ Solo te van a votar los ultras y esos son cuatro crazys descerebraos Estás ganando muchos enemigos @Albert_Rivera @Santi_ABASCAL denuncia a Iglesias, solo denuncias tú nadie va a romper una lanza por lo q ha hecho el zumbado</t>
  </si>
  <si>
    <t>https://www.larazon.es/carrusel-de-noticias</t>
  </si>
  <si>
    <t>Alsace, France</t>
  </si>
  <si>
    <t>Comité de soutien de Manuel Valls pour la primaire de la gauche des 22 et 29 janvier 2017. #Valls2017</t>
  </si>
  <si>
    <t>https://www.facebook.com/Le-Haut-Rhin-avec-Manuel-Valls-1803483146605857/</t>
  </si>
  <si>
    <t>Tomás 🐶🤔</t>
  </si>
  <si>
    <t>El llorón del macho alfa uyyysss perdón @Pablo_Iglesias_ implorando carnaza 😂😂😂 No escuches @Albert_Rivera acuérdate que es amigo de terroristas y sepaRatas 😰😰</t>
  </si>
  <si>
    <t>agh</t>
  </si>
  <si>
    <t>Oviedo, España</t>
  </si>
  <si>
    <t>Errar es humano....Pero echarle la culpa a otro, es más humano todavia...🙄🤔</t>
  </si>
  <si>
    <t>Mujer luchadora que sigue saliendo adelante con un hijo”especial” y con una lucha diaria. Me hackearon el otro twiter.Actualmente en el equipo naranja de Cunit.</t>
  </si>
  <si>
    <t>Javier Losada</t>
  </si>
  <si>
    <t>👁Es una mentira y ‼️lo sabe @Albert_Rivera‼️pero prefiere decir que en Andalucia perdió el P. Socialista, y la realidad es que quien GANÓ las elecciones fue el @psoeandalucia y que @CiudadanosCs quedó de 👉👉tercero. Viviendo en la mentira y la agitación (ahora le gusta VOX)</t>
  </si>
  <si>
    <t>De vuelta de la Anestesiología y Reanimación. Cuenta personal, con temas varios. Fui alcalde de A Coruña y senador PSOE. Ahora Delegado del Gobierno en Galicia.</t>
  </si>
  <si>
    <t>Danilo Rivalta</t>
  </si>
  <si>
    <t>40 años de paz prosperidad crecimiento y libertad en España! Un abrazo al pueblo español! @InesArrimadas @Albert_Rivera RT @InesArrimadas: "Hay que estar muy orgullosos de ese gran acuerdo fraguado en la Transición, una suma de renuncias que cuajó en la semilla de lo que hoy es nuestra nación". No te pierdas este artículo de @Albert_Rivera sobre nuestra Constitución👇</t>
  </si>
  <si>
    <t>https://twitter.com/inesarrimadas/status/1070272603485548544
https://www.20minutos.es/noticia/3508559/0/albert-rivera-defender-nuestra-constitucion/%23xtor=AD-15&amp;xts=467263%23xtor=AD-15&amp;xts=467263</t>
  </si>
  <si>
    <t xml:space="preserve">Lugano , Paris </t>
  </si>
  <si>
    <t>Passionate of #SocialMedia . Passionate of #Sales.Twitto e ReTwitto su Spagna Francia Italia USA. Father of Chiara and Isabella . As Roma !</t>
  </si>
  <si>
    <t>http://www.thegotomarketcompany.com</t>
  </si>
  <si>
    <t>Jose Ignacio</t>
  </si>
  <si>
    <t>@ Albert_Rivera: No permitas que el Socialista Manuel Valls marque tu línea ideológica. ¿QUIÉN ES EL PRESIDENTE DE CD's,@ Albert_Rivera o Manuel Valls? NO PERMITAS QUE UN SOCIALISTA TE DIGA CON QUIÉN TIENES QUE PACTAR.</t>
  </si>
  <si>
    <t>Cas</t>
  </si>
  <si>
    <t>Uno que es tonto y no se entera...@Albert_Rivera RT @espana_karmen: Este aún no se enteró que ganó el PSOE A, por lo cual le corresponde a Susana formar gobierno ¿ Que serán capaces de hacer la derecha por ocupar San Telmo?</t>
  </si>
  <si>
    <t>https://twitter.com/espana_karmen/status/1070295264873902081
https://twitter.com/DebatAlRojoVivo/status/1070292697615867909</t>
  </si>
  <si>
    <t>Casandra veía el futuro, la muerte y el sufrimiento ajeno y nadie la creía. ¿A mí? A veces, sólo a veces.</t>
  </si>
  <si>
    <t>FAKE FAKE FAKE</t>
  </si>
  <si>
    <t>Espera.... Eso lo dijo Albert Rivera cuando Cataluña, pero ahora que es el tercero quiere pactar para gobernar. RT @WillyTolerdoo: El partido más votado debe gobernar en Andalucía pero no en el resto de España. Todo en orden, circulen.</t>
  </si>
  <si>
    <t>https://twitter.com/WillyTolerdoo/status/1070271456922296321
https://twitter.com/PSOE/status/1069991893164023809</t>
  </si>
  <si>
    <t>S.C.R.A.T.S</t>
  </si>
  <si>
    <t>.@Albert_Rivera Desde nuestra Corporación le solicitamos un encuentro urgente, para intercambiar impresiones sobre los intereses de los 80.000 regantes de Alicante, Murcia y Almería, son de gran trascendencia y queremos conocer la postura de su formación política al respecto.</t>
  </si>
  <si>
    <t>Decibel, Sunset, 4every1, ASummerStory, Dreambeach, Tomorrowland, Loudness, Wish Outdoor, Summer Festival, Arenal Sound, Medusa Sunbeach, LifeTemptation...</t>
  </si>
  <si>
    <t>https://pbs.twimg.com/media/DtqWjgcX4AA9NYu.jpg</t>
  </si>
  <si>
    <t>Carmelo Asensio CHA</t>
  </si>
  <si>
    <t>Albert Rivera lleva meses diciendo que Pedro Sánchez no puede gobernar con 84 diputados de 350 y él quiere gobernar Andalucía con 21 de 109 😅</t>
  </si>
  <si>
    <t>A través de este perfil, pretendemos dar a conocer la historia del trasvase Tajo Segura y su contribución al desarrollo económico y social de España.</t>
  </si>
  <si>
    <t>http://www.scrats.es</t>
  </si>
  <si>
    <t>Economista y portavoz del grupo municipal de CHA en el Ayuntamiento de Zaragoza</t>
  </si>
  <si>
    <t>http://www.elblogdecha.org</t>
  </si>
  <si>
    <t>Europa Press TV</t>
  </si>
  <si>
    <t>Rivera ( @Albert_Rivera ) dará prioridad a negociar con el PP un Gobierno de "cambio" en Andalucía pero con Marín de presidente</t>
  </si>
  <si>
    <t>https://bit.ly/2RBPsqD</t>
  </si>
  <si>
    <t>pic.twitter.com/OXldiF17eV</t>
  </si>
  <si>
    <t>Twitter oficial de Europa Press Televisión, la sección de informativos de la agencia de noticias privada líder en España | YouTube: https://goo.gl/EzlxyC</t>
  </si>
  <si>
    <t>http://www.europapress.tv</t>
  </si>
  <si>
    <t>https://noticiasvenezuela.org/2018/12/05/juan-pardo-por-que-albert-rivera-se-salto-el-registro-del-control-de-seguridad-del-aeropuerto-del-prat-el-maletin-portaba-mas-de-2-millones-de-euros-y-800-gramos-de-cocaina/</t>
  </si>
  <si>
    <t>Más comentados ahora en Derecha/Centro Dcha.: ➀ @Albert_Rivera ↓ ➁ @ahorapodemos ↑ ➂ @JosPastr ↑ ➃ @Santi_ABASCAL ↓ ➄ @josepramonbosch ↓ ➅ @sanchezcastejon ↓ ➆ @vox_es ↓ ➇ @Pablo_Iglesias_ ↑ ➈ @javiernegre10 ↑</t>
  </si>
  <si>
    <t>Todas las leyes tienen su eficacia en el tiempo y son factibles de reformas pero hoy España en una crisis y gobernada por minorías no puede reformar la constitución. Primero hay que echar al eje PSOE PODEMOS de la Moncloa. @FJL_EsRadio @Santi_ABASCAL @pablocasado @Albert_Rivera</t>
  </si>
  <si>
    <t>ROroroRO 🇪🇸</t>
  </si>
  <si>
    <t>El castañazo que os vais a pegar en #Cataluña con #Valls va a ser épico @Albert_Rivera , estáis a tiempo de poner remedio RT @libertaddigital: Rivera desautoriza a Valls y no descarta un acuerdo a tres con VOX</t>
  </si>
  <si>
    <t>En todo el mundo</t>
  </si>
  <si>
    <t>Contamos lo que vemos y a veces lo que pensamos, si te gusta lo que lees retweet</t>
  </si>
  <si>
    <t>Más influyentes ahora en Derecha/Centro Dcha.: ➀ @Albert_Rivera ↓ ➁ @JosPastr ↑ ➂ @josepramonbosch ↓ ➃ @Santi_ABASCAL ↑ ➄ @javiernegre10 ↑ ➅ @ldpsincomplejos ↑↑ ➆ @elmundoes ↓ ➇ @juanchoex ↑ ➈ @Alvisepf ↓</t>
  </si>
  <si>
    <t>Intentan boicotear un acto de Albert Rivera en el Liceo al grito de "fuera fascistas"</t>
  </si>
  <si>
    <t>https://www.huffingtonpost.es/2018/12/05/intentan-boicotear-un-acto-de-albert-rivera-en-el-liceo-al-grito-de-fuera-fascistas_a_23609607/?ncid=other_twitter_cooo9wqtham&amp;utm_campaign=share_twitter</t>
  </si>
  <si>
    <t>SCA</t>
  </si>
  <si>
    <t>En serio @Albert_Rivera empezastes como socialdemocrata,despues liberal y vas a terminar en Nacionalsocialista.Aupado por @vox_es Ciudadanos decide negociar con el PP el Gobierno de Andalucía sin excluir a Vox  vía @elpais_espana</t>
  </si>
  <si>
    <t>Asociación de Compañeros nacidos en el 78,no denostamos lo que hoy lo que nuestros padres crearon</t>
  </si>
  <si>
    <t>José Alberto Alonso</t>
  </si>
  <si>
    <t>The Objective</t>
  </si>
  <si>
    <t>Buenas tardes @VidalQuadras, #VOX es extremista ahora porque lo fue en sus orígenes, y los sabes ... @Albert_Rivera @InesArrimadas @CiudadanoVille @CiudadanosCs @ESPCiudadana @ferdeparamo @Tonicanto1 @Pablo_Iglesias_ @ierrejon @CBescansa @TeresaRodr_ @JM_Kichi @CsarZafra RT @VidalQuadras: Mi tribuna de hoy en La Gaceta Extremismos</t>
  </si>
  <si>
    <t>El líder de Ciudadanos, Albert Rivera, no descarta pactar con Vox para lograr el cambio en Andalucía. Te contamos la última hora sobre los posibles pactos después de las elecciones andaluzas en nuestro #VídeoDiario</t>
  </si>
  <si>
    <t>http://bit.ly/2ASk53V</t>
  </si>
  <si>
    <t>pic.twitter.com/hPHawXQrCw</t>
  </si>
  <si>
    <t>https://twitter.com/VidalQuadras/status/1070327668405620738
https://gaceta.es/opinion/extremismos-vox-20181205-1244/</t>
  </si>
  <si>
    <t>Periodismo ethos | Conecta con la sensibilidad de la sociedad que define nuestro futuro.</t>
  </si>
  <si>
    <t>http://theobjective.com</t>
  </si>
  <si>
    <t>TRES CANTOS (MADRID) LIBRE</t>
  </si>
  <si>
    <t>Abogado. Máster en Dirección de Constructoras e Inmobiliarias. Máster en Gestión de Servicios. Especialista en Derecho Civil, Administrativo y Mercantil.</t>
  </si>
  <si>
    <t>Íñigo Sesé</t>
  </si>
  <si>
    <t>En @Juliaenlaonda ,el programa de @julia_otero , acaban de bautizar una nueva posición política refiriéndose a @Albert_Rivera: el centro / extremo centro. ¿No os parece genial? 🤣🤣</t>
  </si>
  <si>
    <t>A veces soy profesor de FP: FOL, RRHH, EeIE y otras variedades. Pero a veces no, y hablo de cosas normales y ... paranormales.</t>
  </si>
  <si>
    <t>Pedro C. Rueda</t>
  </si>
  <si>
    <t>Las respuestas a este tuit son para tomar nota @Albert_Rivera @CiudadanosCs @JuanMarin_Cs RT @GirautaOficial: Han sido casi 40 años de identificación entre partido e institución, de régimen clientelar y de corrupción estructural. Se acabó. El PSOE va a salir del gobierno andaluz. Es imprescindible.</t>
  </si>
  <si>
    <t>https://twitter.com/girautaoficial/status/1070311496389926914</t>
  </si>
  <si>
    <t>Sevilla. Andalucía. España</t>
  </si>
  <si>
    <t>Economista de formación - Sevillista de nacimiento (1974). Socio 1456 del Sevilla FC</t>
  </si>
  <si>
    <t>Jesus Vergara © 🇪🇸</t>
  </si>
  <si>
    <t>El veleta naranja @Albert_Rivera de @CiudadanosCs nos devela sus intenciones...</t>
  </si>
  <si>
    <t>https://pbs.twimg.com/media/DtqR1Y8X4AAp9Fu.jpg</t>
  </si>
  <si>
    <t>Jesús Araujo ♣</t>
  </si>
  <si>
    <t>La carita de Albert Rivera escuchando a Manuel Vals diciendo que no se precipiten y equivoquen con las negociaciones en Andalucia. Ya le ha sacado el billete de vuelta a Francia.</t>
  </si>
  <si>
    <t>Cartagena-Ferrol ( España)</t>
  </si>
  <si>
    <t>Boston Garden, Sevilla.</t>
  </si>
  <si>
    <t>Mezclando rock, comics y basket desde finales de los 80. This is my truth tell me yours. #CelticsEspaña #Marvel #StarWars #DeepPurple</t>
  </si>
  <si>
    <t>http://susoworld33.blogspot.com.es</t>
  </si>
  <si>
    <t>Apusino</t>
  </si>
  <si>
    <t>Si VOX firmara un acuerdo con una banda terrorista para que solo se atentara en Cataluña y no en el resto de España , que les llamarían?Eso lo acordó ERC.Que no te engañen  @gabrielrufian @Santi_ABASCAL @okdiario @pacomarhuenda @pablocasado_ @Albert_Rivera</t>
  </si>
  <si>
    <t>Ger Arribas!</t>
  </si>
  <si>
    <t>La cara que pone Albert Rivera cuando Manuel Valls dice en un acto delante de Arrimadas y él que no hay que pactar con la extrema derecha es bonita.</t>
  </si>
  <si>
    <t>https://www.elmundo.es/elmundo/2004/02/18/espana/1077102000.html</t>
  </si>
  <si>
    <t>De Madrid al cielo 🇪🇺</t>
  </si>
  <si>
    <t>Más chulo que un ocho. Graduado en Derecho y Filosofía por la Universidad Complutense de Madrid. #Actualidad #Política #Madrid #Europa</t>
  </si>
  <si>
    <t>España 🇪🇸</t>
  </si>
  <si>
    <t>La ejecutiva de @CiudadanosCs con @Albert_Rivera a la cabeza aprueba ya negociar un Gobierno con el PP sin descartar a @vox_es  vía @elconfidencial</t>
  </si>
  <si>
    <t>https://www.elconfidencial.com/espana/2018-12-05/la-ejecutiva-de-cs-aprueba-ya-negociar-un-gobierno-con-el-pp-sin-descartar-a-vox_1688210/?utm_source=twitter&amp;utm_medium=social&amp;utm_campaign=ECDiarioManual</t>
  </si>
  <si>
    <t>Parece que le está entrando la sensatez a @Albert_Rivera De otro modo, Ciudadanos está acabado. @vox_es @pablocasado_ RT @cultrun: Albert Rivera priorizará negociar con el PP en Andalucía y no descarta que Vox entre en el Gobierno  vía @elmundoes</t>
  </si>
  <si>
    <t>Giovanna Valls</t>
  </si>
  <si>
    <t>Vergonzoso escrache. Escrache contra Albert Rivera y Manuel Valls en Barcelona con consignas independentistas  vía @laSextaTV</t>
  </si>
  <si>
    <t>https://twitter.com/cultrun/status/1070321417143635968
https://www.elmundo.es/espana/2018/12/05/5c07d10afc6c83de3f8b475c.html</t>
  </si>
  <si>
    <t>Paris 1963. Vivo en BCN. Aferrada a la vida - Diario de un renacimiento Accrochée à la vie -Journal d'une renaissance. Gracias a la vida - Merci à la vie !!</t>
  </si>
  <si>
    <t>El Periódico</t>
  </si>
  <si>
    <t>http://elperiodi.co/lrdlg1</t>
  </si>
  <si>
    <t>Rosa María</t>
  </si>
  <si>
    <t>#LascloacasdeInterior: @CiudadanosCs 'compra' la asociación policial @jusapol para que le haga campaña a @Albert_Rivera - Público</t>
  </si>
  <si>
    <t>Información, participación y conversación con El Periódico. 🗣️Si te interesa la política, síguenos en Telegram https://telegram.me/elperiodico</t>
  </si>
  <si>
    <t>http://www.elperiodico.com</t>
  </si>
  <si>
    <t>https://www.publico.es/politica/cloacas-interior-ciudadanos-compra-asociacion-policial-jusapol-le-haga-campana-rivera.html</t>
  </si>
  <si>
    <t>País Valencià</t>
  </si>
  <si>
    <t>Entelequio</t>
  </si>
  <si>
    <t>¿Se ha quejado ya Albert Rivera de que en el Liceu le han tirado libros o tizas o algo?</t>
  </si>
  <si>
    <t>Estupefacto y torrefacto. No insulto y evito a quienes lo hacen. Barañáin (Navarra).</t>
  </si>
  <si>
    <t>#España @Albert_Rivera: 'El presidente de la Junta debe ser limpio, con capacidad de diálogo y que no pare de crecer' @CiudadanosCs</t>
  </si>
  <si>
    <t>skaramouche 👑</t>
  </si>
  <si>
    <t>por qué a Albert Rivera le soprende que le acusen de fascista?</t>
  </si>
  <si>
    <t>http://www.lacerca.com/noticias/espana/rivera-presidente-junta-debe-limpio-capacidad-pare-crecer-448077-1.html</t>
  </si>
  <si>
    <t>años de ilusión y banderas de morado ❤️💛💜 don’t stop me now ☝🏻👑 CHILLIEBER 😈 PINYOL PINYOL 🧡</t>
  </si>
  <si>
    <t>http://www.instagram.com/_aitanaa19</t>
  </si>
  <si>
    <t>VEᑎC ҒUᗰ</t>
  </si>
  <si>
    <t>El gilipollas de Albert Rivera grabando con el móvil , payaso.</t>
  </si>
  <si>
    <t>Borregomatrix</t>
  </si>
  <si>
    <t>Imaginome un planeta imaginario, paralelo a este mundo inmundo, sigo soñando, puto iluso.</t>
  </si>
  <si>
    <t>José Soto</t>
  </si>
  <si>
    <t>Albert Rivera llamaba a los constitucionalistas a enfrentarse a quienes querían liquidar el Estado. Ahora no descarta pactar con un partido con medidas anticonstitucionales en su programa, como derogar el matrimonio igualitario. ¿A qué juega @Albert_Rivera?</t>
  </si>
  <si>
    <t>Indignad@s!!</t>
  </si>
  <si>
    <t>Albert Rivera no descarta pactos con VOX, para crear el "gobierno del cambio". Casado dice que ofrecerá consejerías a VOX. Nunca olvidaremos aquel Domingo en que nos acostamos en 2018 y nos despertamos en la década de los 30.</t>
  </si>
  <si>
    <t>https://www.eldiario.es/politica/Albert_Rivera-Ciudadanos-Andalucia-pactos-PP-Vox_0_843065834.html</t>
  </si>
  <si>
    <t>https://pbs.twimg.com/media/DtqQjX8X4AIxcAV.jpg</t>
  </si>
  <si>
    <t>https://pbs.twimg.com/media/DtrPIkiW4AE2Oun.jpg</t>
  </si>
  <si>
    <t>Con l@s de abajo</t>
  </si>
  <si>
    <t>El mundo se divide, sobre todo, entre indign@s e indignad@s. Un pueblo culto es el mayor enemigo de un gobierno corrupto. #15M #SíSePuede</t>
  </si>
  <si>
    <t>Miope y canto mal. Con 17 años empujé a un niño para hacerme una foto con Mudito en Disneyland. Si lees esto, perdóname.</t>
  </si>
  <si>
    <t>aipepet</t>
  </si>
  <si>
    <t>Nada nuevo bajo el sol @Albert_Rivera. Caretas fuera RT @MonDiari: Rivera s'obre a un acord amb Vox a Andalusia</t>
  </si>
  <si>
    <t>https://twitter.com/MonDiari/status/1070305025220624384
https://elmon.cat/politica/rivera-sobre-acord-vox-andalusia</t>
  </si>
  <si>
    <t>INFH NDPNTSM 051218201013 Escrache contra Albert Rivera y Manuel Valls en Barcelona con consignas independentistas</t>
  </si>
  <si>
    <t>https://www.lasexta.com/noticias/nacional/medio-centenar-de-estudiantes-revientan-un-acto-de-valls-y-rivera-en-barcelona-gritando-consignas-independentistas-video_201812055c0815990cf2d96fe2f99381.html</t>
  </si>
  <si>
    <t>https://pbs.twimg.com/media/DtqQFcJW0AA2RVo.png</t>
  </si>
  <si>
    <t>Azarías</t>
  </si>
  <si>
    <t>Si vuestra postura sobre que la presidencia de la Junta ha de ser para @JuanMarin_Cs preparaos para que no lo entendamos en el resto de España. No se equivoque de nuevo Sr. @Albert_Rivera. No seré yo quien le quite el mérito de Uds. en Cataluña, pero sus errores son de bulto.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</si>
  <si>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José González</t>
  </si>
  <si>
    <t>Nada que no hay manera, C.s, de Albert Rivera, han montado una obra de teatro, con Valls, que argumentaba que no se puede pactar con Vox, ante Rivera, y este diciendo lo contrario, total siguen creyendo que los ciudadanos, somos idiotas</t>
  </si>
  <si>
    <t>Badalona, Catalunya</t>
  </si>
  <si>
    <t>La merma es totalitaria. Van de dignos pero no aceptan los resultados electorales que no les convengan. La merma es comunismo, separatismo y filoterrorismo.</t>
  </si>
  <si>
    <t>📽 @Albert_Rivera "El objetivo es dar a Andalucía un gobierno limpio que no discrimine; esperamos que el PP y el PSOE actúen con humildad para poder dar a los ciudadanos el gobierno que merecen" #ActualidadCs</t>
  </si>
  <si>
    <t>https://pbs.twimg.com/media/DtqC0u1XcAEewKh.jpg</t>
  </si>
  <si>
    <t>Esta gentecilla liberticida debe aprender a convivir con la libertad de los demás. Mientras no sepan hacerlo, nos tendrán siempre en frente.</t>
  </si>
  <si>
    <t>https://m.huffingtonpost.es/2018/12/05/intentan-boicotear-un-acto-de-albert-rivera-en-el-liceo-al-grito-de-fuera-fascistas_a_23609607/</t>
  </si>
  <si>
    <t>La derrota sufrida x eje del mal PSOE PODEMOS en Andalucia se repetirá con más fuerza en las elecciones generales en España. Ciudadanos, VOX y el PP obtendrán la mayoría de manera aplastante. Los pueblos No votan por traidores. @Albert_Rivera debería entenderlo. España primero.</t>
  </si>
  <si>
    <t>🔴 Un grupo de estudiantes, con gritos independentistas, intenta boicotear un acto de Albert Rivera y Manuel Valls en Barcelona. Arrancamos | DIRECTO</t>
  </si>
  <si>
    <t>http://atres.red/4ncii6048</t>
  </si>
  <si>
    <t>https://pbs.twimg.com/media/DtrM3hTWsAEBZc0.jpg</t>
  </si>
  <si>
    <t>Ud @Albert_Rivera debería ser un poco más humilde, ya no espero que lo sea como yo. Sí que trabaje un poquito más por Andalucía. Me alegro de no haberle votado, con ese puñetero politiqueo de votos al que juega. Cada día que juegue con el votante le va a pasar factura. Lo sabe</t>
  </si>
  <si>
    <t>turboMusk  j_ime lerinowo</t>
  </si>
  <si>
    <t>¡¡Deplorable Albert Rivera grabando a los manifestantes protestando en una facultad universitaria de Barcelona!! (visto en @MVTARDE) #FelizMiércoles</t>
  </si>
  <si>
    <t>Castilla, Madrid</t>
  </si>
  <si>
    <t>La vida es bella. ¿O no? ♂</t>
  </si>
  <si>
    <t>Futbolúpulo</t>
  </si>
  <si>
    <t>Vas por buen camino, Albert. Sigue así. 👏👏👏#vamosmisevilla @Albert_Rivera</t>
  </si>
  <si>
    <t>https://pbs.twimg.com/media/DtqOSkIXcAEoeey.jpg</t>
  </si>
  <si>
    <t>Fiel de Nervión Sevilla Fútbol Club Desde 1890 A MDCCCXC De 1890 Dal 1890 Since 1890 Depuis 1890 Seit 1890</t>
  </si>
  <si>
    <t>Manolo Breñas</t>
  </si>
  <si>
    <t>El presidente de Ciudadanos, Albert Rivera y la líder en Cataluña, Inés Arrimadas, durante la reunión del Comité Ejecutivo Nacional del partido con el objeto de analizar los resultados en Andalucía . Excluir a VOX de la negociación le parece "irresponsable"</t>
  </si>
  <si>
    <t>A diferencia de la izquierda plagada de líderes Rufianes y corruptos un doctor que no hizo la tesis y un mercenario comunista estafador la derecha en España tiene tres joyas como @Santi_ABASCAL @pablocasado y @Albert_Rivera. Y eso los españoles lo saben. @FJL_EsRadio VIVA VOX.</t>
  </si>
  <si>
    <t>https://pbs.twimg.com/media/DtrMdylW4AIkNo9.jpg</t>
  </si>
  <si>
    <t>Vitoria-Gasteiz, País Vasco</t>
  </si>
  <si>
    <t>Irakasle oso gorria kolore polita da eta.Poesia politika animaliak eta musika ere interesatzen zaizkit.</t>
  </si>
  <si>
    <t>Alvaro Vicente</t>
  </si>
  <si>
    <t>Yo para Navidad quiero el teléfono del camello de @Albert_Rivera. Porque para pensar que van a gobernar siendo terceros esa mierda tiene que ser buena. RT @Albert_Rivera: La Ejecutiva Cs ha decidido: ✅Garantizar el cambio en Andalucía: el PSOE debe ir a la oposición ✅Que el próximo presidente sea una persona limpia, dialogante y que no para de sumar votos: @JuanMarin_Cs ✅Abrir negociación con el PP para lograr un gobierno de cambio</t>
  </si>
  <si>
    <t>Prensa fresca</t>
  </si>
  <si>
    <t xml:space="preserve">Galopa banana!! </t>
  </si>
  <si>
    <t>https://T.co/RsfXnosUqX</t>
  </si>
  <si>
    <t>Las noticias más comentadas en Twitter según los medios más enlazados. Información continua y actualizada</t>
  </si>
  <si>
    <t>Ojo @eduardoinda le ha mandado hoy un recadito a @Albert_Rivera para que se alíe con el @PPopular y con @vox_es . Tomad nota: @elpais_espana @publico_es @eldiarioes @elconfidencial . @eduardoinda :302 dias sin investigar la licenciatura de @pablocasado_</t>
  </si>
  <si>
    <t>Maximo Dalmau</t>
  </si>
  <si>
    <t>Después del resultado electoral en Andalucia, no he visto a nadie de @CiudadanosCs @Albert_Rivera @InesArrimadas, dar las gracias al @PPopular y a su infame ex-presidente @marianorajoy, por haber regalado la presidencia a @sanchezcastejon. Y el PP quiere gobernar otra vez???</t>
  </si>
  <si>
    <t>Balearic Islands, Spain.</t>
  </si>
  <si>
    <t>Live simple, think smart, love always... is the best way! =) https://www.youtube.com/c/MaximoDalmau</t>
  </si>
  <si>
    <t>https://www.maximodalmau.com</t>
  </si>
  <si>
    <t>miguel</t>
  </si>
  <si>
    <t>Dios te oiga. Tu tb puedes oir @Albert_Rivera RT @expansioncom: Manuel Valls: "No puede haber ningún pacto con Vox"</t>
  </si>
  <si>
    <t>https://twitter.com/expansioncom/status/1070316618448809984
http://bit.ly/2UhEKqH</t>
  </si>
  <si>
    <t>https://pbs.twimg.com/media/DtqHStBWsAACUGI.jpg</t>
  </si>
  <si>
    <t>Farmacia UCM. 🍀 ATM. 1903</t>
  </si>
  <si>
    <t>Pero a ver @Albert_Rivera lo que tú propones es de extorsión, ¿enserio piensas que nos vas a colar más socialismo, cuando se ha desbancado al PSOE por la dictadura que llevaba desangrando Andalucía 40 años?</t>
  </si>
  <si>
    <t>https://okdiario.com/espana/andalucia/2018/12/05/rivera-dispuesto-pacto-pp-sin-descartar-vox-pero-marin-presidente-3430883</t>
  </si>
  <si>
    <t>Xavier Casals 🎗</t>
  </si>
  <si>
    <t>Els "centristes" ... Rivera ve irresponsable descartar escenarios de pacto, incluido VOX @lavanguardia</t>
  </si>
  <si>
    <t>Retweet does not mean to agree ... 😀</t>
  </si>
  <si>
    <t>Camilo M-Tolosa #RED</t>
  </si>
  <si>
    <t>No, @Albert_Rivera Vox tiene que formar parte de ese gobierno que usted propone. Además deberían aprender a contar; ustedes han quedado terceros por detrás del PP y aun así pretenden acaparar TODO el protagonismo. Váyase al cuerno!</t>
  </si>
  <si>
    <t>https://pbs.twimg.com/media/DtqJuKPXQAUWLCj.jpg</t>
  </si>
  <si>
    <t>Liberal conservador. Español sin adscripción política porque ninguno me representa. Mi mujer, mis hijos y España lo primero. Huyendo de la demagogia.</t>
  </si>
  <si>
    <t>Rafael García López</t>
  </si>
  <si>
    <t>#ThisIsTheRealSpain Deseando ver como hace Albert Rivera para pactar con VOX yendo a las elecciones en #Europa con los liberales anti ultraderecha Rivera no descarta pactos con Vox para hacer posible un "gobierno del cambio" en Andalucía  vía @eldiarioes</t>
  </si>
  <si>
    <t>https://www.eldiario.es/_324029ea</t>
  </si>
  <si>
    <t>De vocación periodista,me encanta ver realities,series,fútbol y tertulias políticas.Siempre veo @mediasetcom en #TV.❤️ Conocer y opinar.#Audiencias twitteo.</t>
  </si>
  <si>
    <t>https://www.instagram.com/rafagarcialar/</t>
  </si>
  <si>
    <t>Rafael Sancho Jaldón</t>
  </si>
  <si>
    <t>@Arbert_Rivera Francisco Franco, por la gracia de Dios, huele mal, ya está muy viejo. Tú Albert Rivera "El Fasces", ¡@guardiacivil venid¡, que no me escrachen¡. Con Vox, me cago en tos.</t>
  </si>
  <si>
    <t>https://pbs.twimg.com/media/DtrHOw7XQAA3eeb.jpg</t>
  </si>
  <si>
    <t>Laura Seara</t>
  </si>
  <si>
    <t>Imagino que @CiudadanosCs y @Albert_Rivera estarán tomando nota. En toda Europa se está cercando a la ultraderecha a través de cordones sanitarios mientras aquí, a los que dan lecciones de regeneración política les vale todo. Les valen hasta los amigos y referentes de Le Pen. RT @HoyPorHoy: DIRECTO | @manuelvalls: "Si no queremos dar protagonismo a VOX, lo sensato es que haya un acuerdo entre los partidos constitucionalistas"</t>
  </si>
  <si>
    <t>https://twitter.com/hoyporhoy/status/1070229698314153986</t>
  </si>
  <si>
    <t>https://pbs.twimg.com/media/Dto4O05X4AI7PEB.jpg</t>
  </si>
  <si>
    <t>Ourense-Madrid</t>
  </si>
  <si>
    <t>Madre, feminista, consultora, abogada. Ex de muchas cosas. Fui Sec de Estado de Igualdad y Dtra del Instituto de la Mujer. Ahora en @Red_Talento</t>
  </si>
  <si>
    <t>http://redtalentoconsultoras.com</t>
  </si>
  <si>
    <t>Crónica Global</t>
  </si>
  <si>
    <t>💭 #Pensamiento "Ciudadanos no puede tener como socio a Vox sin que la formación de Albert Rivera venda su alma al diablo", sentencia @joaquimcoll</t>
  </si>
  <si>
    <t>https://cronicaglobal.elespanol.com/pensamiento/andalucia-como-oportunidad_204615_102.html</t>
  </si>
  <si>
    <t>https://pbs.twimg.com/media/DtpAth0WwAElVpw.jpg</t>
  </si>
  <si>
    <t>Clara Gracia</t>
  </si>
  <si>
    <t>Somos pequeñas tribus, queremos ser escuchadas y no ignoradas. @sanchezcastejon @Albert_Rivera @MSPE_Aragon @Pablo_Iglesias_ @EstadoIgualdad RT @EstatalFamilias: ¿Quieres conocer la historia de esta Súper Familia? Próximamente... #MiPequeñaSuperFamilia #familiasmonomarentales @UNAFamilias @igualdadpsoem @PSOE @ahorapodemos @PPopular @CiudadanosCs @CCOO @UGT_Comunica</t>
  </si>
  <si>
    <t>Medio digital con una concepción crítica del periodismo. Apuntamos en la buena dirección.</t>
  </si>
  <si>
    <t>http://www.cronicaglobal.com</t>
  </si>
  <si>
    <t>https://twitter.com/EstatalFamilias/status/1069955655388315649</t>
  </si>
  <si>
    <t>https://pbs.twimg.com/media/Dtk-MT1WwAE-7hv.jpg</t>
  </si>
  <si>
    <t>Radicales boicotean el acto de Ciudadanos por la Constitución en Barcelona: "¡Fuera fascistas!" Al acto, celebrado en el Liceo, acuden Albert Rivera, Inés Arrimadas y Manuel Valls. Luego los extremistas son vox cuando el partido de estos son golpistas y extrema izquierda</t>
  </si>
  <si>
    <t>Daniel Lorenzo</t>
  </si>
  <si>
    <t>Si no te gusta lo que digo no me sigas ; estoy en contra del comunismo y el comunismo radical populista (ojo no soy de ningún partido)</t>
  </si>
  <si>
    <t>.@Albert_Rivera colocando el cordón sanitario en torno a la socialdemocracia y ofreciéndose a acuerdos con la ultraderecha. Ver para creer. @CiudadanosCs ultima su viaje hacia una derecha sin complejos, intolerante, populista y aliada de los enemigos de Europa. Es terrible.</t>
  </si>
  <si>
    <t>En frase breve, ideas largas</t>
  </si>
  <si>
    <t>Secretari d’esport i oci a l’Executiva de @SocialistesVal. @ForumEsport es nuestra visión social del deporte. #XimoPresident</t>
  </si>
  <si>
    <t>ChuiPasBourré</t>
  </si>
  <si>
    <t>📽 @InesArrimadas "Mañana celreebrarrmos un zcto sn Barcelona pqra conmemoragdd los 40 años ds la Constiuctión junto q @Albert_Rivera y @manuelvalls. Los dmeócrsta vamso a defender los valoresq constitucionale de</t>
  </si>
  <si>
    <t>https://pbs.twimg.com/media/DtpufRNW0AAXWvS.jpg</t>
  </si>
  <si>
    <t>noN MaiIS c'ESDRT PAs Ce que VOUSA ACROYé!! jeS Susiz roejs àa fAie en éTàt !!! [bot] Je vous réponds quelque chose qui vous dérange ? Dites-moi «supprime»</t>
  </si>
  <si>
    <t>Ernesto Ekaizer</t>
  </si>
  <si>
    <t>#AyValls Rivera ve irresponsable descartar escenarios de pacto, incluido VOX @lavanguardia</t>
  </si>
  <si>
    <t>La Hora Digital</t>
  </si>
  <si>
    <t>📢 Ciudadanos desoye a Europa y no descarta llegar a acuerdos con Vox 👉🏻  #LaHoraDigital #5deDiciembre #Política #Andalucía #EleccionesAndalucía | @CiudadanosCs @Albert_Rivera @Cs_Andalucia @JuanMarin_Cs</t>
  </si>
  <si>
    <t>https://lahoradigital.com/noticia/17806/politica/ciudadanos-desoye-a-europa-y-no-descarta-llegar-a-acuerdos-con-vox.html</t>
  </si>
  <si>
    <t>Escritor y periodista. Analista y reportero en los diarios EL PAÍS y ARA; Las Mañanas Cuatro, TeleMadrid, la SER, Versió RAC1 y Boulevard Radio Euskadi.</t>
  </si>
  <si>
    <t>La hora de la verdad. Dirigido por @conchaminguela1 | Síguenos también en Facebook, Instagram y YouTube | @LaHoraFeminista</t>
  </si>
  <si>
    <t>http://www.lahoradigital.com</t>
  </si>
  <si>
    <t>Pouer                                    ™</t>
  </si>
  <si>
    <t>A Albert Rivera se le han caído estos dos tuits iguales y con el mismo vídeo que no se reproduce.</t>
  </si>
  <si>
    <t>https://pbs.twimg.com/media/DtrHtHmWoAEmlFr.jpg</t>
  </si>
  <si>
    <t>Andrés Novoa</t>
  </si>
  <si>
    <t>Qué tienen en común Vox, el jefe de campaña de Trump y Le Pen - Y @Albert_Rivera está más que dispuesto a pactar con Vox. Y estos eran los "regeneradores"...</t>
  </si>
  <si>
    <t>El Madriz de Leganés</t>
  </si>
  <si>
    <t>Hipertenso con gafas.</t>
  </si>
  <si>
    <t>https://elpais.com/politica/2018/12/04/actualidad/1543949909_697562.html</t>
  </si>
  <si>
    <t>Evan Lewis</t>
  </si>
  <si>
    <t>dejenlos.!!! k la ostia k se van a pegar en las proximas, la tienen asegurada si hacen eso...@Albert_Rivera @GirautaOficial RT @algucas: Los naranjitos, disfruten de ellos.</t>
  </si>
  <si>
    <t>Metrópoli Abierta</t>
  </si>
  <si>
    <t>En el interior se encontraban Albert Rivera, Inés Arrimadas y Manuel Valls celebrando la Constitución</t>
  </si>
  <si>
    <t>https://twitter.com/algucas/status/1070315046268559360
https://twitter.com/libertaddigital/status/1070279817570869249</t>
  </si>
  <si>
    <t>http://ow.ly/jy5r30mSwVg</t>
  </si>
  <si>
    <t>🇳🇴</t>
  </si>
  <si>
    <t>Medio de comunicación plural e independiente de Barcelona, abierto a todos los vecinos, comerciantes y entidades de la ciudad. http://www.metropoliabierta.com</t>
  </si>
  <si>
    <t>#UngaUngaArmy #CustodiaCompartida #noalindulto #existen @Albert_Rivera @Cs_Andalucia: No permita que los corruptos del PSOE sigan gobernando Andalucía. Únase al #PartidoPopular y a #Vox para echarlos de una vez #FueraPSOE. FIRMA:</t>
  </si>
  <si>
    <t>🏴‍☠️ AnnabeLee</t>
  </si>
  <si>
    <t>Prostitutas indepes... LoL ..de verdad q me rio x no llorar d las tergiversaciones d la prensa d la villa y corte!! El gabacho terrorista economico deberia estar acostumbrado a todo eso.. No tanto albert rivera q es d tradicion intolerante y no tolera escraches (Ni el amarillo) RT @Fleurrose55: 'Escrache' de prostitutas e independentistas a Manuel Valls en un acto en el Raval  vía @eldiarioes</t>
  </si>
  <si>
    <t>http://www.citizengo.org/hazteoir/pc/167099-al-psoe-ni-agua-sr-rivera?tc=tw&amp;tcid=52541879</t>
  </si>
  <si>
    <t>https://twitter.com/Fleurrose55/status/1070386556320538624
https://www.eldiario.es/_323ad374</t>
  </si>
  <si>
    <t>Activismo en la intergñee since 1996, kanya_bcn en los foros autonomias d terra, los fachas impotentes me llamaban kañeria pestilente, un honor</t>
  </si>
  <si>
    <t>Te traes, @Albert_Rivera, a un franchute como Valls, ignorante de lo que es España, para darnos lecciones. Vas al precipicio y te despeñarás. Tú y tu partido sois poco de fiar, sin principios ni escrúpulos.</t>
  </si>
  <si>
    <t>Pedro Hdez. Marco</t>
  </si>
  <si>
    <t>📺 @Santi_ABASCAL en @elprogramadear 👉🏻 "Albert Rivera es como un toro manso, no sabes por dónde va a salir. Cuando alguien vota a Ciudadanos, uno no sabe si va a entregar el voto a la derecha o a la izquierda"... RT @voxnoticias_es: 📺 @Santi_ABASCAL en @elprogramadear 👉🏻 "Albert Rivera es como un toro manso, no sabes por dónde va a salir. Cuando alguien vota a Ciudadanos, uno no sabe si va a entregar el voto a la derecha o a la izquierda" #AbascalAR</t>
  </si>
  <si>
    <t>https://twitter.com/voxnoticias_es/status/1070261258538995712?s=19</t>
  </si>
  <si>
    <t>Centinela del Alba 😘💗🇪🇸💗</t>
  </si>
  <si>
    <t>https://pbs.twimg.com/media/DtpU7jLXgAAM44r.jpg</t>
  </si>
  <si>
    <t>Vamos que @CiudadanosCs esta dispuesto a Suicidarse... cualquier pacto fuera de PP CS y Vox sería traicionar el voto de la Gente... @Albert_Rivera estas jugando con 💥 Veletas</t>
  </si>
  <si>
    <t>Villena (Alicante) España</t>
  </si>
  <si>
    <t>https://okdiario.com/espana/2018/12/05/iglesias-plantea-ciudadanos-que-ponga-encima-mesa-acuerdo-andalucia-3430367/amp#click=https://t.co/13Q5TZLCjz</t>
  </si>
  <si>
    <t>Noticias de Villena http://www.vinalopodigital.net</t>
  </si>
  <si>
    <t>http://www.vinalopodigital.net</t>
  </si>
  <si>
    <t>Española... y FACHA.. Si Facha y a mucha honra !! Arriba España😘🇪🇸</t>
  </si>
  <si>
    <t>La cuestión es que ha cambiado todo y lo más importante @Albert_Rivera TODO ESTA CAMBIADO 🙌 RT @doguionrego: La justicia a veces es poética.. Está escrito @Albert_Rivera Si a este @pablocasado_ le guían las luces En menos de un año Albert te quedas sin partido 😃</t>
  </si>
  <si>
    <t>Aquí Albert Rivera, exigiendo como condición imprescindible, que @vox_es gobierne en Andalucia. Será un ataque de generosidad? Qué majos. #FelizMiércoles #españa RT @CiudadanosCs: 📽 @Albert_Rivera "La Ejecutiva de Cs ha decidido abrir negociaciones para un nuevo gobierno en Andalucía con exigencias claras: que sea un gobierno de cambio, que al frente esté un partido limpio con capacidad de diálogo y que lidere una opción que crece en votos" #ActualidadCs</t>
  </si>
  <si>
    <t>https://twitter.com/doguionrego/status/1070313921653948417
https://twitter.com/doguionrego/status/1070312781696679937</t>
  </si>
  <si>
    <t>María de Tabarnia 🇪🇸 🌺</t>
  </si>
  <si>
    <t>🔴Le darán la espalda a C's en las Autonómicas y Municipales y, por supuesto en las Generales SI @Albert_Rivera OBSTACULIZA un nuevo Gobierno de DERECHAS en Andalucía, que es lo que VOTARON mayoritariamente los andaluces, al pretender imponer a su candidato, bufón de @susanadiaz.</t>
  </si>
  <si>
    <t>Barcelona, Cataluña, ESPAÑA</t>
  </si>
  <si>
    <t>#Rac1 Ekaizer&amp;Clapés: “No confiaría en los principios de Albert Rivera porque no creo que los tenga...” @rac1</t>
  </si>
  <si>
    <t>Enamorada de la Mar y de la Luna, de la cultura, arte, música, deporte, de mis hijos, de Dios, del AMOR... "Cualquier noche de estas, volverá a brillar el Sol".</t>
  </si>
  <si>
    <t>http://shr.gs/cs5773P</t>
  </si>
  <si>
    <t>Esta mañana en Madrid, en la reunión del Comité Ejecutivo de @CiudadanosCs. Ahora camino de Barcelona para celebrar con @Albert_Rivera @InesArrimadas y @manuelvalls el cuadragésimo aniversario de la Constitución Española, marco democrático de convivencia y garantía de futuro.</t>
  </si>
  <si>
    <t>https://pbs.twimg.com/media/DtqFr97XQAApDQ4.jpg</t>
  </si>
  <si>
    <t>antonio jesus ruano</t>
  </si>
  <si>
    <t>https://okdiario.com/espana/andalucia/2018/12/05/rivera-dispuesto-pacto-pp-sin-descartar-vox-pero-marin-presidente-3430883#.XAgZYQU-hyM.twitter</t>
  </si>
  <si>
    <t>publicitario,agricultor</t>
  </si>
  <si>
    <t>La justicia a veces es poética.. Está escrito @Albert_Rivera Si a este @pablocasado_ le guían las luces En menos de un año Albert te quedas sin partido 😃 RT @doguionrego: Este @Albert_Rivera va cometer exactamente el mismo error que cometió esta @rosadiezglez cuando pasó de @CiudadanosCs y empezó a desaparecer 🙌 Los enemigos de los partidos suelen estar dentro 😉</t>
  </si>
  <si>
    <t>https://twitter.com/doguionrego/status/1070312781696679937
https://twitter.com/RosaMSJ2/status/1070245287837528064</t>
  </si>
  <si>
    <t>PERFIL. Humillado en Francia, Manuel Valls inaugura una segunda vida en España  vía @eldiarioes Para estar cerca de Albert Rivera hay que ser oportunista y farsante !</t>
  </si>
  <si>
    <t>https://www.eldiario.es/_30afab26</t>
  </si>
  <si>
    <t>📽 @Albert_Rivera "La Junta de Andalucía debe ser presidida por un partido que crezca y no esté manchado por la corrupción. El PP sigue pendiente de casos de corrupción y por eso Cs es una mejor opción para lograr la regeneración" #ActualidadCs</t>
  </si>
  <si>
    <t>Henry Cerdá</t>
  </si>
  <si>
    <t>pic.twitter.com/HmpuK8uJIP</t>
  </si>
  <si>
    <t>PENSIONISTA, NO DE IZQUIERDAS, SIGO A QUIEN ME SIGUE. Sé breve en tus razonamientos, que ninguno hay gustoso si es largo.</t>
  </si>
  <si>
    <t>Angel Ferrando Erole</t>
  </si>
  <si>
    <t>Por que Rivera ve españoles. Todo lo que ve son españoles. Vaya personaje.</t>
  </si>
  <si>
    <t>Sant Vicenç dels Horts, Espanya</t>
  </si>
  <si>
    <t>Català enamorat del meu país</t>
  </si>
  <si>
    <t>Philippe Courtet</t>
  </si>
  <si>
    <t>⁦@manuelvalls⁩ lo puede acceptar ? En Francia era anti fascista... Albert Rivera priorizará negociar con el PP en Andalucía y no descarta que Vox entre en el Gobierno @elmundoes</t>
  </si>
  <si>
    <t>El duro editorial de 'Le Monde' que no gustará ni a .@pablocasado_ ni a .@Albert_Rivera: "Es peligroso"</t>
  </si>
  <si>
    <t>#psychiatry #suicidology #AFPBN @FondaMental_Psy #arles</t>
  </si>
  <si>
    <t>Slowpako</t>
  </si>
  <si>
    <t>Los del escrache a Ciudadanos llamando fascista a Albert Rivera, pero haciendo algo tan fascista como censurar y limitar la libertad de expresión. Está pasando como en EEUU, que las universidades empiezan a ser sumideros de NPCs influenciables y escandalosos.</t>
  </si>
  <si>
    <t>Cádiz / Madrid</t>
  </si>
  <si>
    <t>25. Loc QA tester. 🎸🎮🍣 En la frontera que divide lo genio de lo imbécil. ばかです</t>
  </si>
  <si>
    <t>http://instagram.com/pacoarizasystem</t>
  </si>
  <si>
    <t>GDV Valencianos Y Españoles</t>
  </si>
  <si>
    <t>Si @CiudadanosCs pacta con @psoedeandalucia será su tumba y @PPopular volverá a crecer y @vox_es a reventar @Albert_Rivera pienstelo muy bien no vale todo por gobernar con corruptos y más vale hacer un cambio en #andalucia fuera ya la izquierda de allí</t>
  </si>
  <si>
    <t>anti nacionalistas somos Reino De Valencia VCF siempre 💯</t>
  </si>
  <si>
    <t>Liverdades</t>
  </si>
  <si>
    <t>Intentan boicotear un acto de Albert Rivera en el Liceo al grito de "fuera fascistas"  vía @ElHuffPost</t>
  </si>
  <si>
    <t>http://dlvr.it/Qsvp84</t>
  </si>
  <si>
    <t>https://pbs.twimg.com/media/DtrEqMrV4AAz9Q5.jpg</t>
  </si>
  <si>
    <t>🔴@Albert_Rivera faltaría a su palabra dada en @ElCascabelTRECE si obstaculizara el nuevo gobierno reclamado mayoritariamente por los andaluces en las urnas por pretender imponer su candidato @JuanMarin_Cs al frente de la Junta. C's, lo pagaría muy caro‼️</t>
  </si>
  <si>
    <t>Medio digital de opinión política, filosófica y social. Tu opinión es lo más importante. En Facebook https://www.facebook.com/liverdades.es/</t>
  </si>
  <si>
    <t>http://liverdades.com/</t>
  </si>
  <si>
    <t>pic.twitter.com/BhvDVDfFdc</t>
  </si>
  <si>
    <t>Juan CE</t>
  </si>
  <si>
    <t>Vaya lío @Albert_Rivera RT @el_pais: AMPLIACIÓN | Rivera ve "irresponsable" excluir a VOX de las negociaciones en Andalucía. Sin embargo, el candidato que apoyan para la alcaldía de Barcelona, @manuelvalls, ha dicho esta mañana: "No puede haber ningún pacto con la extrema derecha"</t>
  </si>
  <si>
    <t>Progrestona 🇪🇸</t>
  </si>
  <si>
    <t>De esta manera son recibidos Albert Rivera y Valls en Barcelona, NO estoy a favor de esto. Pero por una vez me pienso alegrar, después de obviar a Vox y a sus 400.000 votantes en Andalucía.</t>
  </si>
  <si>
    <t>United Kingdom &amp; Madrid</t>
  </si>
  <si>
    <t>pic.twitter.com/7YoAgcTCjZ</t>
  </si>
  <si>
    <t>Madrileño de Pamplona de paso por UK. Estudié Teleco. Ahora hago PowerPoints.</t>
  </si>
  <si>
    <t>Mar de Olivos, España.🇪🇸</t>
  </si>
  <si>
    <t>Gay, ESPAÑOL, Madridista, de Derechas, Anticomunista, Antiprogre.. Te doy permiso para que me insultes, me PONE. 🇪🇸🏳‍🌈 #GobiernoDeMierda http://instagram.com</t>
  </si>
  <si>
    <t>📽 @Albert_Rivera "Las últimas elecciones trajeron un cambio sustancial: Cs ha pasado de ser un partido que pide cambios, a ser un partido que lidera los cambios. Vamos a priorizar la negociación con el PP para el nuevo gobierno de Andalucía" #ActualidadCs</t>
  </si>
  <si>
    <t>https://pbs.twimg.com/media/Dtp_-soWoAAuQcx.jpg</t>
  </si>
  <si>
    <t>Cristóbal Delatorre</t>
  </si>
  <si>
    <t>http://dlvr.it/Qsvn7Q</t>
  </si>
  <si>
    <t>https://pbs.twimg.com/media/DtrDvFkVsAAC0io.jpg</t>
  </si>
  <si>
    <t>Soy Republicano y de Podemos ✊ 💜. Soy alérgico al PP-Cs-Psoe.</t>
  </si>
  <si>
    <t>.@Albert_Rivera priorizará negociar con el @PPopular en Andalucía y no descarta que @vox_es entre en el Gobierno  vía @elmundoes</t>
  </si>
  <si>
    <t>La escoria fascista de Albert Rivera provocando en el Liceu. Los estudiantes le gritan bien claro: FUERA EL FASCISMO DE NUESTRA ESCUELA!! DIGNIDAD! JUNTOS CONTRA EL FASCISMO! #cdr #alertaUltra #vagadefam LICEU</t>
  </si>
  <si>
    <t>https://pbs.twimg.com/media/DtrDtK3WsAEkSSc.jpg</t>
  </si>
  <si>
    <t>Visto lo visto puede ser urgente romper el pacto con @manuelvalls para la alcaldía de Barcelona. Pueden perder lo conseguido en las últimas elecciones catalanas. Los cambios de timón en política no suelen ser buenos. @CiudadanosCs @GirautaOficial @InesArrimadas @Albert_Rivera</t>
  </si>
  <si>
    <t>Dnn</t>
  </si>
  <si>
    <t>Los boicots e insultos hacia Albert Rivera sólo le dan votos. Si hacen lo mismo con Abascal nos podemos encontrar con una mayoría absolutísima e histórica de C's + PP + VOX. Hasta para protestar hay que tener un mínimo de inteligencia.</t>
  </si>
  <si>
    <t>Espíritu libre. Tres reglas de vida: aprender, divertirse, transformar.</t>
  </si>
  <si>
    <t>📽 @Albert_Rivera "La Ejecutiva de Cs ha decidido abrir negociaciones para un nuevo gobierno en Andalucía con exigencias claras: que sea un gobierno de cambio, que al frente esté un partido limpio con capacidad de diálogo y que lidere una opción que crece en votos" #ActualidadCs</t>
  </si>
  <si>
    <t>Cs Cambre</t>
  </si>
  <si>
    <t>🎥 40 años de Constitucionalismo con Albert Rivera, Inés Arrimadas y Manuel Valls.</t>
  </si>
  <si>
    <t>https://youtu.be/wtfnQbyHV40</t>
  </si>
  <si>
    <t>Cambre, Galicia</t>
  </si>
  <si>
    <t>Twitter oficial de la Agrupación de Ciudadanos (Cs) de Cambre - Twitter oficial da Agrupación de Cidadáns (Cs) de Cambre</t>
  </si>
  <si>
    <t>📰 No te pierdas el artículo de opinión de @Albert_Rivera en el Cuarenta Aniversario de nuestra Carta Magna 👇 'Defender y actualizar nuestra Constitución' #LecturaRecomendada</t>
  </si>
  <si>
    <t>▶ Escrache contra Albert Rivera y Manuel Valls en Barcelona con consignas independentistas</t>
  </si>
  <si>
    <t>El único que está demostrando estar a la altura democrática de las circunstancias es @manuelvalls !! @Albert_Rivera @InesArrimadas @JuanMarin_Cs parece mentira que con lo que habéis presumido de defender la democracia y la CE ahora estéis dispuestos a pactar con el diablo.</t>
  </si>
  <si>
    <t>http://atres.red/pvuqk4</t>
  </si>
  <si>
    <t>Rubén San Isidoro</t>
  </si>
  <si>
    <t>Y @manuelvalls lo sabe bien por su experiencia en Francia y la aparición estelar de la extrema derecha de Le Pen. Nuestros vecinos franceses se negaron rotundamente a pactar con el #FrenteNacional. Ahora @Albert_Rivera no descarta pactar con #Vox RT @el_pais: AMPLIACIÓN | Rivera ve "irresponsable" excluir a VOX de las negociaciones en Andalucía. Sin embargo, el candidato que apoyan para la alcaldía de Barcelona, @manuelvalls, ha dicho esta mañana: "No puede haber ningún pacto con la extrema derecha"</t>
  </si>
  <si>
    <t>Nueva York, USA</t>
  </si>
  <si>
    <t>Periodista. Viviendo el sueño americano en NYC | Colaboré en @VAVELcom, @expansioncom y @DiarioDAlmeria | Tuiteando sobre #Política #deporte #socialmedia</t>
  </si>
  <si>
    <t>Francesco  Surace</t>
  </si>
  <si>
    <t>Hola @Albert_Rivera @InesArrimadas RT @abc_es: Manuel Valls rechaza pactar con Vox: «No puede haber ningún compromiso con la extrema derecha»</t>
  </si>
  <si>
    <t>https://twitter.com/abc_es/status/1070305541497462784
http://ver.abc.es/ccmr11</t>
  </si>
  <si>
    <t>26. Siciliano e Progressista. Law at @unicatt in Milan. Living in Rome. Exchange at @upfbarcelona, currently Lobbying and International Relations at @24OreBS</t>
  </si>
  <si>
    <t>Lamentablemente se cae la careta, tarde o temprano pero siempre! Albert Rivera y Casado demuestran estar más cerca de la ultraderecha fascista, como siempre, ahora VOX!#Fascistas</t>
  </si>
  <si>
    <t>@EdwarFortimagen</t>
  </si>
  <si>
    <t>Mira Albert Rivera @Albert_Rivera, tienes muy poca memoria estas esactamente en la misma situación en la que estuvo "Rosa diez"@rosadiezglez que por mantener una posición numantina se quedó sin nada ¿te acuerdas? Pues así estáis vosotros en estos momentos, podéis perderlo todo RT @CiudadanosCs: 📽 @Albert_Rivera "Quiero dar las gracias a los andaluces que han confiado en Cs. Hemos conseguido que nos apoye mucha gente que votaba al PSOE y al PP y que muchos abstencionistas participaran" #ActualidadCs</t>
  </si>
  <si>
    <t>Antoni Ginard i Torello</t>
  </si>
  <si>
    <t>https://twitter.com/CiudadanosCs/status/1070301053583876096</t>
  </si>
  <si>
    <t>Albert Rivera priorizará negociar con el PP en Andalucía y no descarta que Vox entre en el Gobierno @elmundoes</t>
  </si>
  <si>
    <t>https://pbs.twimg.com/media/Dtp4z68WsAAGZ2o.jpg</t>
  </si>
  <si>
    <t>Aficionado fotografico especializado en retoque /ajustes selectivos por zonas, reducción de arrugas e imperfecciones, revelados archivo fotográficos Raw etc.</t>
  </si>
  <si>
    <t>Abogado. Socio fundador Legal Consultors. Defiendo la #verdad, las #causasjustas y los #DDHH</t>
  </si>
  <si>
    <t># sigue en directo 40 Años de Constitucionalismo con Albert Rivera, Inés Arrimadas y Manuel Valls</t>
  </si>
  <si>
    <t>cule,si has votado a Vox, no eres bien recibido</t>
  </si>
  <si>
    <t>En este video veréis lo bien que habla el líder de @Cs_Andalucia @JuanMarin_Cs sobre los Pactos, uy PERDON que Marín aquí no pinta nada que es @Albert_Rivera el que corta el bacalao aquí 🤔🤔🤔 #FrenarElFascismo</t>
  </si>
  <si>
    <t>https://www.pscp.tv/w/btgN4TFQbUtxZ1BBWkpWRW98MWVhS2JPeWtkbWRHWEhaqx6ofb96lMsRY0fG88ByEM06byGdMt659zYQD5X6</t>
  </si>
  <si>
    <t>https://www.lasexta.com/noticias/nacional/elecciones-andalucia/albert-rivera-no-descarta-pactar-con-vox-en-andalucia-nos-sentaremos-con-los-partidos-constitucionalistas-para-sumar-una-mayoria-video_201811305c0128300cf21af43013edd3.html</t>
  </si>
  <si>
    <t xml:space="preserve">#En algun Lugar de Jaen </t>
  </si>
  <si>
    <t>Naci siendo del barça, Indignado, ANDALUZ y de JAÉN #VivaAndaluciaLibre</t>
  </si>
  <si>
    <t>Mercè Piqueras</t>
  </si>
  <si>
    <t>Yo también condeno la violencia, venga de donde venga, pero me parece que en julio a @Albert_Rivera se le olvidó condenar la agresión (con fractura de tabique nasal) al fotoperiodista @jordiborras por parte de un policía nacional (de la brigada de información) de paisano.</t>
  </si>
  <si>
    <t>https://pbs.twimg.com/media/Dtp6DsIWoAMoI-I.jpg</t>
  </si>
  <si>
    <t>Freelance science writer, science editor, translator http://lectoracorrent.blogspot.com</t>
  </si>
  <si>
    <t>http://lectoracorrent.blogspot.com</t>
  </si>
  <si>
    <t>Rat Queen</t>
  </si>
  <si>
    <t>El nazi de siempre que se quita la careta. @Albert_Rivera RT @A3Noticias: Rivera ve irresponsable "descartar" escenarios de pacto en Andalucía, incluido a Vox</t>
  </si>
  <si>
    <t>Malú</t>
  </si>
  <si>
    <t>https://twitter.com/A3Noticias/status/1070303685077598208
http://atres.red/kvepr1</t>
  </si>
  <si>
    <t>Intento comunicarme con la gente que tiene buenas ideas y aprender de ellas, mucha gente sabia,¡¡¡Viva la Gente!!!</t>
  </si>
  <si>
    <t>Twin Peaks.</t>
  </si>
  <si>
    <t>~Cineasta de chichinabo, eterna adolescente, joven atormentada~ Guionista y esas cosas. Lennieista. Screenwriter. Dictadora de la comida.</t>
  </si>
  <si>
    <t>https://instagram.com/prexievicious/</t>
  </si>
  <si>
    <t>OKDIARIO</t>
  </si>
  <si>
    <t>#ÚLTIMAHORA | @Albert_Rivera dispuesto al pacto con el @PPopular y sin descartar a @vox_es pero con Marín de presidente</t>
  </si>
  <si>
    <t>Víctor Robles Valero</t>
  </si>
  <si>
    <t>Del PP ya sabemos de que pie cojea, pero C's va de centro cuando son más de lo mismo, mientras sus socios en el Parlamento Europeo le están dando un tirón de orejas a Albert Rivera por querer pactar con la ultraderecha...</t>
  </si>
  <si>
    <t>https://okdiario.com/espana/andalucia/2018/12/05/rivera-dispuesto-pacto-pp-sin-descartar-vox-pero-marin-presidente-3430883?utm_campaign=ok&amp;utm_medium=Social&amp;utm_source=Twitter#Echobox=1544015367</t>
  </si>
  <si>
    <t>Talavera de la Reina</t>
  </si>
  <si>
    <t>PhD,Licenciado en Química y Máster en Energías Renovables. Apasionado del Atleti, sufridor por tanto.Intentando mejorar el mundo investigando en células solares</t>
  </si>
  <si>
    <t>El sitio de los inconformistas. Dirigido por @eduardoinda. Síguenos en Facebook: http://facebook.com/okdiario.</t>
  </si>
  <si>
    <t>http://okdiario.com/</t>
  </si>
  <si>
    <t>.@Santi_ABASCAL responde a @Albert_Rivera: “@CiudadanosCs es un toro manso, nosotros somos bravos” 🎥  #ENTREVISTA de @carloscuestaEM</t>
  </si>
  <si>
    <t>https://okdiario.com/espana/2018/12/05/abascal-responde-rivera-ciudadanos-toro-manso-nosotros-somos-bravos-3426819?utm_campaign=ok&amp;utm_medium=Social&amp;utm_source=Twitter#Echobox=1544015335</t>
  </si>
  <si>
    <t>miopinion</t>
  </si>
  <si>
    <t>Notición gran hermano VIP 7 ya tiene participantes @Pablo_Iglesias_ @gabrielrufian @KRLS @Santi_ABASCAL @Albert_Rivera y el gran @sanchezcastejon va a molar las nominaciones</t>
  </si>
  <si>
    <t>Marcos Manuel López</t>
  </si>
  <si>
    <t>#manuelvalls ha dejado claro cual es la línea roja que no se puede pasar. Atentos #Ciudadanos #albert_rivera . Si se pacta con Vox será lo mismo que se critica de Sánchez Castejón . Manuel Valls: “No puede haber ningún pacto con Vox”  vía @elpais_espana</t>
  </si>
  <si>
    <t>Baleares, Islas Baleares</t>
  </si>
  <si>
    <t>Madrid, España, U.E.</t>
  </si>
  <si>
    <t>"Los nacionalismos son la cuna de los fascismos".E.Tierno Galván Socialdemócrata y por tanto anticomunista. No me gustan los extremos. Voté la Constitución1978</t>
  </si>
  <si>
    <t>Agustín M. Altés</t>
  </si>
  <si>
    <t>Un gobierno de @CiudadanosCs con el apoyo de @PSOE y la abstención de @AdelanteAND, sería la tumba política de @Albert_Rivera. Iglesias no descarta facilitar en Andalucía un gobierno de Ciudadanos pero Teresa Rodríguez lo rechaza</t>
  </si>
  <si>
    <t>http://www.elmundo.es/espana/2018/12/05/5c07b140fc6c834c318b4680.html</t>
  </si>
  <si>
    <t>En 🐸 ➡️ aaltes | Para defender la cultura y tradición Occidental sólo hay una vía : Reconquista. | Identitario y liberal. #StopIslam</t>
  </si>
  <si>
    <t>eva🎗️</t>
  </si>
  <si>
    <t>A Albert Rivera le sale siempre a cuenta ir a BCN para grabar 15 segundos de estudiantes llamándole fascista. Lo pondrá en su twitter tal que asi: lOs GoLpIsTaS iNtEnTaN mAtArMe OtRa Vez ((video))</t>
  </si>
  <si>
    <t>Segundo Sanz</t>
  </si>
  <si>
    <t>🔴🔴 ÚLTIMA HORA! @Albert_Rivera dispuesto al pacto con el PP en Andalucía y sin descartar a VOX pero con Marín de presidente  #FelizMiércoles</t>
  </si>
  <si>
    <t>Overdressed and underappreciated.</t>
  </si>
  <si>
    <t>https://okdiario.com/espana/andalucia/2018/12/05/rivera-dispuesto-pacto-pp-sin-descartar-vox-pero-marin-presidente-3430883#.XAfMG4fbLNI.twitter</t>
  </si>
  <si>
    <t>Periodista en @OKDIARIO. Política, investigación y opinión. Casi una década ya cubriendo información en el Congreso 🏛️ segundo.sanz@okdiario.com</t>
  </si>
  <si>
    <t>El centro derecha europeo, ahora comprobará, que Albert Rivera, va camuflado, es un fascista como Casado</t>
  </si>
  <si>
    <t>http://www.okdiario.com</t>
  </si>
  <si>
    <t>Es el momento de recordar que la #PSOE gobernó los últimos 3 años y medio con apoyo de @CiudadanosCs Lo de la "corrupción socialista" está claro por quien va. Pero, lo del "comunismo chavista", no sé si les va a hacer mucha gracia a @Albert_Rivera y demás RT @el_pais: DIRECTO  Vox dice que "nunca" serán un obstáculo "para que haya en Andalucía una mayoría alternativa a la corrupción socialista y al comunismo chavista que estaba dirigiendo el cotarro"</t>
  </si>
  <si>
    <t>https://twitter.com/el_pais/status/1069551013466562562?s=20
https://bit.ly/2rjMAD0</t>
  </si>
  <si>
    <t>https://pbs.twimg.com/media/DtfO-VzV4AEZUwz.jpg</t>
  </si>
  <si>
    <t>L'Hospitalet de Llobegat</t>
  </si>
  <si>
    <t>Más te vale @Albert_Rivera . Sabes que si no lo haces cavarás tu tumba (politicamente hablando). RT @indpcom: 🔴 El líder de @CiudadanosCs ha asegurado que sería una irresponsabilidad “ponerse a descartar todos los escenarios” posibles de pacto en Andalucía, en referencia a @vox_es</t>
  </si>
  <si>
    <t>https://twitter.com/indpcom/status/1070298639376007168
https://www.elindependiente.com/politica/2018/12/05/rivera-no-descarta-pactar-vox-andalucia/?utm_source=share_buttons&amp;utm_medium=twitter&amp;utm_campaign=social_share2</t>
  </si>
  <si>
    <t>Alberto de Jesús</t>
  </si>
  <si>
    <t>#VoxTorosyLibertad  Tomando nota @vox_es @Santi_ABASCAL @FSerranoCastro @Detorosmatador @Albert_Rivera @pablocasado_ @Pablo_Iglesias_ @sanchezcastejon @torosenlacalle @bousdecarrerCV @AITauromaquia @Mundotorocom @teamtoro_es</t>
  </si>
  <si>
    <t>https://albertodejesus63.blogspot.com/2018/12/vox-es-taurino-y-lo-sabes-por-alberto.html</t>
  </si>
  <si>
    <t>Taurino Director revista Bous al Carrer de festejos populares http://www.bousalcarrer.com Fotógrafo taurino de @Revista6Toros6, http://mundotoro.com y agencias</t>
  </si>
  <si>
    <t>Martín da🌹vid</t>
  </si>
  <si>
    <t>Hola @Albert_Rivera un Socialista del @PSOE de @sanchezcastejon Mírelo de esta forma: @CiudadanosCs SOIS EL CENTRO SEGÚN TE JACTAS DE DECIR @susanadiaz y @TeresaRodr_ AFINES La PPandilla de genoveses AFINES a los Voxer Tú mismo!! Tendrías las riendas en ambos casos Tú mismo!!</t>
  </si>
  <si>
    <t>jose silva</t>
  </si>
  <si>
    <t>Del Atlético...De Madrid</t>
  </si>
  <si>
    <t>ArtistaGenial</t>
  </si>
  <si>
    <t>https://pbs.twimg.com/media/DtrAjcVXQAIEfnZ.jpg</t>
  </si>
  <si>
    <t>Igualdad o Equidad</t>
  </si>
  <si>
    <t>Arnald Prat</t>
  </si>
  <si>
    <t>Albert Rivera, Manuel Valls e Inés Arrimadas entran al Conservatori del Liceu mientras estudiantes intentan boicotear el acto con gritos de ‘fuera fascistas del Liceu’. @EFEnoticias #EFELaCaixa</t>
  </si>
  <si>
    <t>pic.twitter.com/eMfG70G2xW</t>
  </si>
  <si>
    <t>En busca de una sociedad responsable, coherente y mejor; recuperando valores y justicia para todos. Derechos y también obligaciones.</t>
  </si>
  <si>
    <t>Periodista a @efenoticias amb #EFELaCaixa. Gairebé politòleg @UPFBarcelona. He après a @tv3cat, @laxarxa, @EL9TV i l’@IRLlull.</t>
  </si>
  <si>
    <t>📽 @Albert_Rivera "Quiero dar las gracias a los andaluces que han confiado en Cs. Hemos conseguido que nos apoye mucha gente que votaba al PSOE y al PP y que muchos abstencionistas participaran" #ActualidadCs</t>
  </si>
  <si>
    <t>Juan Tanamera 🇪🇸</t>
  </si>
  <si>
    <t>Los violentos fascistas nazindepes y ultraizquierdistas intolerantes boicotean un acto de Albert Rivera y Manuel Valls. Esta purria de demócratas tienen muy poco.</t>
  </si>
  <si>
    <t>España-Spain</t>
  </si>
  <si>
    <t>In unitate fortitudo. 88 apellidos españoles.Para hablar lengua española somos 616 millones y creciendo. -Y tú, ¿también te sientes colonizado por España?JoDT</t>
  </si>
  <si>
    <t>Javi</t>
  </si>
  <si>
    <t>¿Os aclaráis? @Albert_Rivera @manuelvalls @CiudadanosCs @InesArrimadas</t>
  </si>
  <si>
    <t>https://pbs.twimg.com/media/Dtp3bX3XQAACCGY.jpg</t>
  </si>
  <si>
    <t>DECIMO MERIDIO</t>
  </si>
  <si>
    <t>No se si @Albert_Rivera se da cuenta de la decepción que está provocando. En mi entorno todos los votos de C’s están migrando a ..... VOX, y conozco mi entorno, no van a volver. Pésima estrategia dejar fuera a 400.000 andaluces. La próxima vez serán el doble a tus expensas</t>
  </si>
  <si>
    <t>La izmierda abertzale demostró ser la escoria más cobarde del planeta; la izmierda catalana la supera, además de cobarde es imbecil</t>
  </si>
  <si>
    <t>jmgallardo-1955</t>
  </si>
  <si>
    <t>Los fascistoides neonazis catalanes reventando un acto en el que iban a intervenir Albert Rivera y Manuel Valls. Qué gentuza. Estos son los que le gustan a los Torras, Tardas, Rufianes, marqueses de Galapagar y demás patulea.Y todos ellos son los que llevaron a Pedro a la Moncloa</t>
  </si>
  <si>
    <t>Francisco Galván</t>
  </si>
  <si>
    <t>Qué poca vergüenza este @Albert_Rivera que anatemizaba al PSOE por apoyarse en los "anticonstitucionalistas" en la moción de censura y ahora aceptaría pactar con los ultras de Vox para alcanzar la Junta de Andalucía. Políticos indecentes=política basura #EleccionesAndalucia</t>
  </si>
  <si>
    <t>Periodista y escritor. Mi última novela: EL CASO DEL VAMPIRO DE CUATRO CAMINOS</t>
  </si>
  <si>
    <t>Farolillo rojo</t>
  </si>
  <si>
    <t>Os enteráis? @Albert_Rivera @pablocasado_ RT @torrerojulian: @AM322422 @miguel_shin @revistamongolia @Santi_ABASCAL @ahorapodemos Estos no se enteran de que millones de españoles estamos hasta los mismísimos de muchas cosas que nos impone la izquierda y ha estado asumiendo la derecha hasta diluirse en el magma de la corrección política. Hasta cada vez que dicen «todos y todas» le dan votos a VOX.</t>
  </si>
  <si>
    <t>https://twitter.com/torrerojulian/status/1070037045916155904</t>
  </si>
  <si>
    <t>Cristina</t>
  </si>
  <si>
    <t>-Albert Rivera: ¿espejito espejito, quién es el político con más sentido de Estado?, - tú Albert tú, y el más constitucionalista.</t>
  </si>
  <si>
    <t>Mundos replicantes</t>
  </si>
  <si>
    <t>Tuitear no es de sabios.</t>
  </si>
  <si>
    <t>Jesús López</t>
  </si>
  <si>
    <t>Como demócrata reconozco que la rueda de prensa de hoy de @Albert_Rivera me deja perplejo. Con tal de llegar al gobierno no le importa unirse a VOX. No doy crédito</t>
  </si>
  <si>
    <t>Sociólogo, peregrino a Compostela desde hace años, comprometido en la búsqueda de una sociedad más justa.</t>
  </si>
  <si>
    <t>http://jlramirez3633.blogspot.com.es/</t>
  </si>
  <si>
    <t>Don Pijote de la Marcha</t>
  </si>
  <si>
    <t>Santiago Abascal y Albert Rivera solo ven españoles de bien cuando miran a los patriotas violadores de la manada.</t>
  </si>
  <si>
    <t>120 minutos</t>
  </si>
  <si>
    <t>#DIRECTO | @Albert_Rivera: "Le piso al PSOE que asuma la derrota". ▶</t>
  </si>
  <si>
    <t>Entre molinos.</t>
  </si>
  <si>
    <t>Hablo d tó sin tener ni idea d ná,Aprieto obturadores no gatillos.Cuando m pica el escroto y m rasco suele acabar en paja.IDEOLOGÍA: lo q diga Evaristo Páramos.</t>
  </si>
  <si>
    <t>http://telemd.es/zwua0141741</t>
  </si>
  <si>
    <t>pic.twitter.com/Aj1ycKU7BI</t>
  </si>
  <si>
    <t>Magacín informativo presentado por @maria_rey, una ventana a la actualidad que se abre todas las mañanas, de L-V, a partir de las 11:30h en @telemadrid</t>
  </si>
  <si>
    <t>http://www.telemadrid.es/120minutos</t>
  </si>
  <si>
    <t>📡 @Albert_Rivera ha atendido a los medios de comunicación en nuestra sede. 👉 En breve te dejaremos un resumen para que no te pierdas nada.</t>
  </si>
  <si>
    <t>https://pbs.twimg.com/media/Dtp1OOUW0AAr1SP.jpg</t>
  </si>
  <si>
    <t>JORDI SOLSONA</t>
  </si>
  <si>
    <t>Dios mío! Sin tapujos. ⁦@CiudadanosCs⁩ se quita la máscara. Ve correcto negociar con la ultra derecha.. será que son lo mismo.</t>
  </si>
  <si>
    <t>Better world, better life</t>
  </si>
  <si>
    <t>Salvador Enguix</t>
  </si>
  <si>
    <t>Periodista de La Vanguardia, Doctor en Comunicació i profesor associat de Periodisme a la UV http://blogs.lavanguardia.com/valencia</t>
  </si>
  <si>
    <t>Diaz II</t>
  </si>
  <si>
    <t>#tiempopactosarv @Albert_Rivera puede hacer lo q quiera,pero si pacta con Vox se le irían muchos votantes por no hablar de los europeistas</t>
  </si>
  <si>
    <t>Cordoba</t>
  </si>
  <si>
    <t>Cuando das amor sin recibir nada a cambio, todo el universo ruge y en tu interior crecen nuevos arboles</t>
  </si>
  <si>
    <t>https://www.facebook.com/pages/Juan-Carlos-DZ/102718446446495?fref=ts</t>
  </si>
  <si>
    <t>Rafael. S.</t>
  </si>
  <si>
    <t>Que no se les olvide a la gente del @PSOE que ustedes gobernaron con @Albert_Rivera y ahora este les pide a Susana que se vaya. hahahahahhahahaha</t>
  </si>
  <si>
    <t>"No ganes el mundo y pierdas tu alma, la sabiduría es mejor que la plata o el oro..." Bob Marley</t>
  </si>
  <si>
    <t>Diego Sanchez</t>
  </si>
  <si>
    <t>Guareña, España</t>
  </si>
  <si>
    <t>Rosa Llarena de Tabarnia</t>
  </si>
  <si>
    <t>#TiempoPactosARV @susanadiaz desesperada. Solo puede darle oxigeno @Albert_Rivera @CiudadanosCs si lo hace será su FIN</t>
  </si>
  <si>
    <t>Todo mi apoyo al Juez Llarena</t>
  </si>
  <si>
    <t>Si os sorpende y os asquea tanto como a mi el "baño y masaje" que Susana Griso le hace en su programa cada dos por tres a @Albert_Rivera, eso os va a parecer un juego de niños con lo que le ha echo hoy Ana Rosa al fascista de Santiago Abascal.</t>
  </si>
  <si>
    <t>.@Albert_Rivera anuncia que empieza a negociar en el que la primera premisa es «que haya cambio» y defiende un «acuerdo de Gobierno» entre PP y Ciudadanos. Y pide al PSOE que asuma que pasa a la oposición y permita el arranque de la legislatura.</t>
  </si>
  <si>
    <t>Cuidado con las "negociaciones" que haga @Albert_Rivera @CiudadanosCs y apoye colocar a PSOE como Cabeza de la Junta, sería su Final</t>
  </si>
  <si>
    <t>Manuel Artiles</t>
  </si>
  <si>
    <t>Pablo Iglesias, Albert Rivera, Joan Tardà y Ana Oramas, candidatos al al Mejor orador del Parlamento  Fuente @EPCanarias</t>
  </si>
  <si>
    <t>http://dlvr.it/Qsvg6h</t>
  </si>
  <si>
    <t>https://pbs.twimg.com/media/Dtq-O7DVAAAGSkj.jpg</t>
  </si>
  <si>
    <t>#TiempoPactosARV Sr. @Albert_Rivera @CiudadanosCs no merecen la presidencia de Andalucía. Negocien con @JuanMa_Moreno @PPopular porque si no en próximas elecciones lo pagarán. Subirá @vox y el PSOE movilizará a sus votantes dormidos. Allá Ustedes</t>
  </si>
  <si>
    <t>Tenerife - Islas Canarias</t>
  </si>
  <si>
    <t>Comunicador y presentador | Fundador de @MirameTV | Enamorado de los animales, amante de la verdad y apasionado del buen periodismo. 🇮🇨 #SoyCANARIO</t>
  </si>
  <si>
    <t>http://www.mirametv.com</t>
  </si>
  <si>
    <t>Boicot a Albert Rivera y a Valls en Barcelona por un grupo de independentistas ahora mismo. Pero ciudadanos se niega a negociar con Vox por ser un partido de "extrema derecha" según ellos. Pues no es Vox quienes os boicotea, es la extrema izquierda quien lo hace. Disfruten</t>
  </si>
  <si>
    <t>De no llegar a un acuerdo con PP y con Vox, sí, sí @Albert_Rivera también con Vox, para sacar al PSOE de la Junta de Andalucia...pocas reuniones más de la Ejecutiva nacional vas a poder hacer, porque los españoles no lo perdonaremos jamás y será la destrucción de Cs. RT @Albert_Rivera: Hoy estamos reunidos en una Ejecutiva nacional extraordinaria para afrontar la negociación del gobierno de la Junta de Andalucía. Los ciudadanos votaron cambio, vamos a por el cambio.</t>
  </si>
  <si>
    <t>Pachetore</t>
  </si>
  <si>
    <t>Sí pasaron (tras muchas zancadillas) - Público  mira @juanizavala aquí te describen eres como Albert Rivera igual de ridículos.</t>
  </si>
  <si>
    <t>https://twitter.com/Albert_Rivera/status/1070277976313524224</t>
  </si>
  <si>
    <t>https://blogs.publico.es/juan-carlos-monedero/2018/12/05/si-pasaron-tras-muchas-zancadillas/</t>
  </si>
  <si>
    <t>méxico df</t>
  </si>
  <si>
    <t>Federico Relimpio</t>
  </si>
  <si>
    <t>#PSOEXIT; "Tal es el mandato electoral de millón ochocientos mil votantes de PP, Ciudadanos y Vox, no se equivoque ningún dirigente despistado" @Albert_Rivera @JuanMarin_Cs @JuanMa_Moreno @pablocasado_</t>
  </si>
  <si>
    <t>https://confidencialandaluz.com/psoexit/</t>
  </si>
  <si>
    <t>🎗Carl Von Clauswitz🎗</t>
  </si>
  <si>
    <t>El choque entre Albert Rivera y Manuel Valls, según el corresponsal de 'Le Figaro' (Compartir desde Armorfly Browser)</t>
  </si>
  <si>
    <t>Mi última novela: Ladridos en la Noche. Thriller psicológico y policíaco de extremo realismo. Suspense intacto hasta el final. http://ow.ly/PvIN30kQSdO</t>
  </si>
  <si>
    <t>https://federicorelimpio.com/libros/ladridos-en-la-noche/</t>
  </si>
  <si>
    <t>https://www.elnacional.cat/es/politica/choque-albert-rivera-manuel-valls-corresponsal-le-figaro_331953_102.html</t>
  </si>
  <si>
    <t>Sr.Choco</t>
  </si>
  <si>
    <t>Los huevos de @Albert_Rivera son realmente gordos. Criticaban a @Pablo_Iglesias_ por pedir la vicepresidencia del Gobierno siendo terceros pero ellos quieren la Presidencia de la Junta habiendo quedado igual. Y no se le cae la cara de vergüenza al decirlo #TiempoDePactosARV</t>
  </si>
  <si>
    <t>Estudiantes del Liceo protestan por el acto de esta tarde de Manuel Valls y Albert Rivera</t>
  </si>
  <si>
    <t>https://goo.gl/PtrzFz</t>
  </si>
  <si>
    <t>pic.twitter.com/YlijFW2KGy</t>
  </si>
  <si>
    <t>Vicente Sánchez</t>
  </si>
  <si>
    <t>Una pregunta tonta qué sé que no me vas a contestar xq la respuesta es evidente @Albert_Rivera ¿Por qué en Cataluña exigíais q tendría que gobernar el partido más votado y en Andalucía te vale que gobierne el tercer partido más votado? 🤔🤔 #EleccionesAndalucía #Hipocresía</t>
  </si>
  <si>
    <t>Si te gusta ver documentales y la denuncia social..Web: 'La Guarida de bizzentte'. Para temas sobre el VCF aquí: @laguaridaVCF</t>
  </si>
  <si>
    <t>http://bizzentte.com/</t>
  </si>
  <si>
    <t>¿Se dará cuenta @Albert_Rivera de que es peor en términos de rédito electoral que gobierne C,'s con la abstención activa de @AdelanteAND, a que forme parte de un gobierno con el voto afirmativo de Vox?</t>
  </si>
  <si>
    <t>https://www.elespanol.com/espana/politica/20181204/podemos-no-permitir-cs-gobierne-andalucia-vox/358214715_0.amp.html?__twitter_impression=true</t>
  </si>
  <si>
    <t>Francachela</t>
  </si>
  <si>
    <t>Escuchando a @Albert_Rivera ahora mismo, bueno, empiezo a no descartar este escenario. Aunque sigo pensando que implica un daño brutal en número de votos, pero bueno, ellos sabrán. Lo mismo esto es sólo un escorzo y un engaño con quién sabe qué propósito. RT @Gauguinepicuro: Cada vez más convencido que en un mes tenemos elecciones en Andalucía otra vez. Me juego una suscripción en Politikon</t>
  </si>
  <si>
    <t>XOSE LIEIRO</t>
  </si>
  <si>
    <t>https://twitter.com/Gauguinepicuro/status/1069971198908469248</t>
  </si>
  <si>
    <t>Capital Vega del Guadalquivir</t>
  </si>
  <si>
    <t>LAS HISTORIAS E INFORMACIÓN AQUÍ PLASMADAS SON TRABAJOS ARTÍSTICOS DE FICCIÓN Y FALSEDAD. CUALQUIER PARECIDO CON LA REALIDAD RESULTARÍA SER MERA COINCIDENCIA.</t>
  </si>
  <si>
    <t>LIEIRO</t>
  </si>
  <si>
    <t>http://www.geo.ya.com/xose36/</t>
  </si>
  <si>
    <t>A ver Farlopin @Albert_Rivera Cuando tiene que gobernar la lista más votada? Cuando sólo te conviene a ti? Ahora eso ya no vale? O es que te metiste la raya por el orificio equivocado ese día? Mientes más que hablar, campeón.</t>
  </si>
  <si>
    <t>Con Susana ➕</t>
  </si>
  <si>
    <t>🗨 @susanadiaz: "Si el cambio para @Albert_Rivera es entregarse a la #extremaderecha, tendrá que reflexionar" 📺 @DebatAlRojoVivo</t>
  </si>
  <si>
    <t>https://pbs.twimg.com/media/DtpyNkjWwAAUo8I.jpg</t>
  </si>
  <si>
    <t xml:space="preserve">Andalucía, España </t>
  </si>
  <si>
    <t>Cuenta de apoyo a #SusanaDíaz como candidata del #PSOEAndalucía a la Presidencia a la #JuntaDeAndalucía el próximo #2D #MásAndalucía</t>
  </si>
  <si>
    <t>https://instagram.com/susanadiazandalucia?utm_source=ig_profile_share&amp;igshid=1czr2tr49fn7k</t>
  </si>
  <si>
    <t>Patricia Lopez</t>
  </si>
  <si>
    <t>Vamos a ver Sr @Albert_Rivera cuando su partido quede primero en las lecciones, se podrá poner gallito,pero como sois TERCEROS, todavía NOOOOO. #respect</t>
  </si>
  <si>
    <t>Nacida en Alicante, viviendo en Almeria y soñando con Bilbao!!</t>
  </si>
  <si>
    <t>Los huevos de @Albert_Rivera son realmente gordos. Criticaban a @Pablo_Iglesias_ por pedir la vicepresidencia del Gobierno siendo terceros pero ellos quieren la Presidencia de la Junta habiendo quedado igual. Y encima no se le cae la cara de vergüenza al decirlo #AndaluciaL6 🤦🏻‍♂️</t>
  </si>
  <si>
    <t>Ese no es Javier Smith, es Albert Rivera disfrazado de Bertín Osborne. RT @La_SER: El secretario general de Vox, esta noche en @hora25  Javier Ortega Smith charlará con @abarceloh25 a partir de las 22 horas</t>
  </si>
  <si>
    <t>https://twitter.com/La_SER/status/1070365936832507904
http://cadenaser.com/programa/2018/12/05/hora_25/1543997510_215497.html</t>
  </si>
  <si>
    <t>https://pbs.twimg.com/media/DtpZYNfXcAAibph.jpg</t>
  </si>
  <si>
    <t>Cuidado con @Albert_Rivera de ciudadanos que excluye a VOX y no quiere cambio en Andalucía, alomejor es un traidor</t>
  </si>
  <si>
    <t>Juan Antonio</t>
  </si>
  <si>
    <t>Albert Rivera pidiendo al @PSOE que asuma la derrota. 🤣 Señor @Albert_Rivera el PSOE de Susana Díaz HA GANADO LAS ELECCIONES, 7 puntos por encima del PP y 10 por encima de Ciudadanos. Deje de mentir, y anteponga los intereses de los andaluces a los suyos propios.</t>
  </si>
  <si>
    <t>Badajoz, Extremadura</t>
  </si>
  <si>
    <t>Extremeño. Creo contenido en @urbantecno Inconformista y comprometido. Apasionado de la tecnología y actualidad política. Gainditu!</t>
  </si>
  <si>
    <t>https://www.youtube.com/channel/UCHhfu5p0zydyM-_nw3IJvig</t>
  </si>
  <si>
    <t>“#PSOEXIT”: tal es el mandato electoral de millón ochocientos mil votantes de PP, Ciudadanos y Vox, no se equivoque ningún dirigente despistado. Pero no otro es el mandato de medio millón de exvotantes del PSOE que se quedaron en casa. @Albert_Rivera @JuanMarin_Cs RT @Pepe_Fdez: PSOEXIT Tal es el mandato electoral de millón ochocientos mil votantes de PP, Ciudadanos y Vox, no se equivoque ningún dirigente despistado. Por Federico Relimpio (@FRelimpio) en @CONFIDENCIALand</t>
  </si>
  <si>
    <t>https://twitter.com/Pepe_Fdez/status/1070275212418129922
https://confidencialandaluz.com/psoexit/</t>
  </si>
  <si>
    <t>Cs Valencia</t>
  </si>
  <si>
    <t>✒️ Artículo de @Albert_Rivera por los #40añosDeConstitución "Defender y actualizar nuestra Constitución"</t>
  </si>
  <si>
    <t>Pablo Iglesias, Albert Rivera, Joan Tardà y Ana Oramas, candidatos al al Mejor orador del Parlamento  vía @epnacional</t>
  </si>
  <si>
    <t>Toda la información del grupo municipal de 🍊Ciudadanos Valencia gmunicipal.valencia@ciudadanos-cs.org</t>
  </si>
  <si>
    <t>http://ayuntamiento-valencia.ciudadanos-cs.org/</t>
  </si>
  <si>
    <t>Moisès</t>
  </si>
  <si>
    <t>aquí votantes y afines a @vox_es . Gracias @pablocasado_ y @Albert_Rivera por seguirle el juego a este nacionalcatolicista #AbascalAR</t>
  </si>
  <si>
    <t>https://youtu.be/GGEKSWjifGQ</t>
  </si>
  <si>
    <t>👨‍🎓 Història UAB CGT 🌇 Terrassa 🗳️Àcrata a estones, ERC a estones.</t>
  </si>
  <si>
    <t>Juanjo Bandera</t>
  </si>
  <si>
    <t>¿Os acordais de cuando @Albert_Rivera nos decia que no se puede gobernar España con 85 diputados (24% de los escaños). Pues bien C's pretende que Juan Marin sea el Presidente del Gobierno Andaluz con 21 Diputados. (19% de los escaños) …</t>
  </si>
  <si>
    <t>El Universo</t>
  </si>
  <si>
    <t>'Cuando siento una necesidad de religión, salgo de noche a pintar las estrellas.''</t>
  </si>
  <si>
    <t>Víctor Climent S</t>
  </si>
  <si>
    <t>En Ciudadanos empiezan a aflorar las primeras contradicciones importantes..... Y no serán las únicas.....</t>
  </si>
  <si>
    <t>CanalSurNoticias</t>
  </si>
  <si>
    <t>En breve, ofreceremos 🔴 #ENDIRECTO la comparecencia de @Albert_Rivera, presidente de @CiudadanosCs | Síguelo aquí 👉</t>
  </si>
  <si>
    <t>http://csur.red/lVZY50jRLhK</t>
  </si>
  <si>
    <t>https://pbs.twimg.com/media/DtpsJp1WoAELUlf.jpg</t>
  </si>
  <si>
    <t>Professor de Sociologia de la Universitat de Barcelona. Gestor universitari i docent de pensament crític. Sóc molt curiós i viatjador.</t>
  </si>
  <si>
    <t>Perfil oficial de los Servicios Informativos de CanalSur.</t>
  </si>
  <si>
    <t>http://www.canalsur.es</t>
  </si>
  <si>
    <t>Isabel</t>
  </si>
  <si>
    <t>Albert Rivera priorizará negociar con el PP en Andalucía y no descarta que Vox entre en el Gobierno  via @elmundoes</t>
  </si>
  <si>
    <t>Jose Maria</t>
  </si>
  <si>
    <t>En lo diferente esta el gusto</t>
  </si>
  <si>
    <t>El encantador de serpientes es muy listo. Ahora que @Albert_Rivera deje de hacer experimentos y empiece a hablar con el pp y con vox. @balaroja</t>
  </si>
  <si>
    <t>https://www.elmundo.es/espana/2018/12/05/5c07b140fc6c834c318b4680.html</t>
  </si>
  <si>
    <t>Carlos Martínez</t>
  </si>
  <si>
    <t>Médico y Ciudadano</t>
  </si>
  <si>
    <t>FJ</t>
  </si>
  <si>
    <t>Ojo @Albert_Rivera a lo que se hace en Andalucía, si la gente votó cambio, es cambio y ya está. Una alianza con el PP como en Madrid a la que Vox no se va a oponer. Y luego 4 años para regenerar esa zona qtanta falta le hace. No hay qdudar!!!</t>
  </si>
  <si>
    <t>Albert Rivera. Rueda de prensa tras reunión Ejecutiva Nacional  vía @YouTube</t>
  </si>
  <si>
    <t>https://youtu.be/wFA6tZ4silk</t>
  </si>
  <si>
    <t>Según algunos soy de raza inferior.</t>
  </si>
  <si>
    <t>Gestapo.Cat</t>
  </si>
  <si>
    <t>RIVERA NO SEAS VELETA @Albert_Rivera @Cs_Andalucia: No permita que los corruptos del PSOE sigan gobernando Andalucía. Únase al #PartidoPopular y a #Vox para echarlos de una vez #FueraPSOE. FIRMA:</t>
  </si>
  <si>
    <t>Un grupo de estudiantes protesta contra la presencia Albert Rivera, Inés Arrimadas y Manuel Valls en el acto '40 años de constitucionalismo' en el Conservatorio del Liceu de Barcelona</t>
  </si>
  <si>
    <t>http://www.citizengo.org/hazteoir/pc/167099-al-psoe-ni-agua-sr-rivera?tc=tw&amp;tcid=52537019</t>
  </si>
  <si>
    <t>https://bit.ly/2JhRxog</t>
  </si>
  <si>
    <t>pic.twitter.com/U4RpUh2KfU</t>
  </si>
  <si>
    <t>ourense</t>
  </si>
  <si>
    <t>nacido 4/8/1964 HASTA LOS COJONES DE COMUNISTAS, MUSULMANES Y SEPARATAS QUIERO OTRA VEZ ESPAÑA UNA GRANDE Y LIBRE</t>
  </si>
  <si>
    <t>http://carlesalberchverges.blogspot.com</t>
  </si>
  <si>
    <t>Jaume Risquete</t>
  </si>
  <si>
    <t>Rivera habla de golpistas a los que quieren romper con la Constitución (los separatistas). A los que quieren abolir las autonomías y la misma Constitución, con estos se puede pactar: Rivera ve irresponsable descartar pacto, incluido VOX @lavanguardia</t>
  </si>
  <si>
    <t>Alfredo López de Tabarnia 🇪🇸🇪🇸🇪🇸</t>
  </si>
  <si>
    <t>Ya estamos cansados de que se criminalice a los españoles, primero fueron a por Tabarnia, luego a por La Manada y ahora van a por Vox, mañana irán a por Ciudadanos. ¿Piensas hacer algo @Albert_Rivera? #AbascalAR</t>
  </si>
  <si>
    <t>http://shr.gs/uNrmAjP</t>
  </si>
  <si>
    <t>Barcelona, Catalonia (Spain)</t>
  </si>
  <si>
    <t>Journalist. PhD in Political Communication. Researcher &amp; Lecturer in journalism http://www.blanquerna.url.edu</t>
  </si>
  <si>
    <t>https://jaumerisquetesanchez.wordpress.com</t>
  </si>
  <si>
    <t xml:space="preserve">Navalcarnero </t>
  </si>
  <si>
    <t>Padre de un niño, marido y encofrador. Politicamente incorrecto. Me llaman facha solo por estar orgulloso de ser español.</t>
  </si>
  <si>
    <t>Hidalgo DePucela</t>
  </si>
  <si>
    <t>. @Albert_Rivera Reforma o cierre del Senado, eliminar privilegios "aforamientos" Garantizar igualdad de derechos en educación, sanidad, dependencia, justicia despolitizada, cambiar el sistema electoral, hacerlo más proporcional @CiudadanosCs</t>
  </si>
  <si>
    <t>Valladolid - España</t>
  </si>
  <si>
    <t>Ciudadano vigía.... del mar futuro.... Sensato a babor... Libre a estribor.... Valiente en proa.... Protector en popa... Que el viento sople a tu favor.</t>
  </si>
  <si>
    <t>Fede Durán</t>
  </si>
  <si>
    <t>Demonios (y peajes) de cada candidato: -@susanadiaz: @sanchezcastejon -@JuanMa_Moreno: @pablocasado_ @PP_JavierArenas -@JuanMarin_Cs: @Albert_Rivera @manuelvalls @Santi_ABASCAL #EleccionesAndalucia @PSOE @CiudadanosCs @PPopular</t>
  </si>
  <si>
    <t>Periodista, escritor. A veces hago fotos.</t>
  </si>
  <si>
    <t>https://www.instagram.com/sansonberlin/</t>
  </si>
  <si>
    <t>Noticias en Español</t>
  </si>
  <si>
    <t>Albert Rivera priorizará negociar con el PP en Andalucía y no descarta que Vox entre en el Gobierno  …</t>
  </si>
  <si>
    <t>https://buff.ly/2St5gvC</t>
  </si>
  <si>
    <t>España y América</t>
  </si>
  <si>
    <t>Todas las noticias en español más importantes del día al alcance de tu dedo. Más últimas horas en @UnaUltimaHora.</t>
  </si>
  <si>
    <t>Espera.... q @CiudadanosCs @JuanMarin_Cs @Albert_Rivera quieren gobernar con esta gente. Para acabar con la mafia de la Junta dicen. YA BASTA de tomar el pelo a todos, sr Rivera! Está acabado, lo mire x donde lo mire! RT @PEPEROES1972: Y hoy 4 de diciembre el psoe sigue enchufando amiguitos Algo que decir @sanchezcastejon ?</t>
  </si>
  <si>
    <t>http://noticiarioespanol.com</t>
  </si>
  <si>
    <t>https://twitter.com/peperoes1972/status/1069944148478869504</t>
  </si>
  <si>
    <t>https://pbs.twimg.com/media/Dtk0hzWWkAAFUfH.jpg</t>
  </si>
  <si>
    <t>EP Nacional</t>
  </si>
  <si>
    <t>Roberto Alcazar</t>
  </si>
  <si>
    <t>Sr. @Albert_Rivera: como se te ocurra "pactar" con el fascista y antidemócrata del Coletas, ese que "si no gana revienta las calles" -talante democrático donde los haya, típico bolivarismo- date por jodido. Te recomiendo pactar antes con un tiburón blanco hambriento que con él. RT @okdiario: Iglesias plantea a Ciudadanos que ponga “encima de la mesa” un acuerdo para Andalucía</t>
  </si>
  <si>
    <t>Twitter oficial del servicio de noticias Nacional de la agencia de noticias Europa Press</t>
  </si>
  <si>
    <t>http://www.europapress.es/nacional/</t>
  </si>
  <si>
    <t>Políticos Podemitas y Secesionistas me BLOQUEAN. ¡Qué poco les gusta a estos FASCISTAS las críticas! Si REBUZNAN, buena señal, voy bien. Seguiremos informando.</t>
  </si>
  <si>
    <t>🍊 Hoy se reúne el Comité Ejecutivo de Cs para evaluar la actualidad política y los resultados de las elecciones de Andalucía. 👉 Tras el encuentro, @Albert_Rivera atenderá a los medios de comunicación en nuestra sede. 📸 ¡Te compartimos unas fotos del momento!</t>
  </si>
  <si>
    <t>Cero absoluto en ciencia política para Vidal Quadras y Albert Rivera 📣 LEALTAD POR LA LEALTAD, 🌎 Libertad,</t>
  </si>
  <si>
    <t>https://pbs.twimg.com/media/Dtpg1nTWoAArvLP.jpg</t>
  </si>
  <si>
    <t>https://goo.gl/Z6Q5bm?vip77=8591913364</t>
  </si>
  <si>
    <t>Nos Une Andalucía</t>
  </si>
  <si>
    <t>Valls apuesta por un "gran pacto de país" contra los populismos y rechaza tratos con Vox. Que tomen nota Albert_Rivera y JuanMarin_Cs #ConSusanaMásAndalucía</t>
  </si>
  <si>
    <t>John Seneca</t>
  </si>
  <si>
    <t>.@Albert_Rivera el planteamiento no es difícil. Susi o presidimos la Junta con tus votos o lo hace el PP y Vox con nuestro apoyo. Tú eliges?</t>
  </si>
  <si>
    <t>Que os den por el PUTO CULO, cuando Franco es No, pero Sí Nicolás Maduro ....😀 (a los fascistas rojos... en verso)</t>
  </si>
  <si>
    <t>🐝Berta G. de Vega</t>
  </si>
  <si>
    <t>Meds</t>
  </si>
  <si>
    <t>JAIME BAYLY –¡IMPERDIBLE!– DlVULGAN nombres, montos, empresas involucrad...  vía @YouTube @pablocasado_ @CiudadanosCs @Albert_Rivera @ramonmuchacho @alcaldeledezma @LesterToledo @maibortpetit @okdiario @vox_es @VOXSevilla</t>
  </si>
  <si>
    <t>Malaga</t>
  </si>
  <si>
    <t>Cómo me enfrento a las circunstancias. Colaboradora http://www.elmundo.es. Hija de Torremolinos. http://www.smartick.es. #AbejaReina bertagdv@gmail.com</t>
  </si>
  <si>
    <t>http://www.elmundo.es/blogs/elmundo/mejoreducados</t>
  </si>
  <si>
    <t>https://youtu.be/Y07VzxE7DM0</t>
  </si>
  <si>
    <t>venezolana de alma y corazón , luchadora por los derechos humanos !!!</t>
  </si>
  <si>
    <t>Andaluz del Sur</t>
  </si>
  <si>
    <t>Ojalá el señor @Albert_Rivera, y el señor @pablocasado_, se den cuenta que los Andaluces queremos ver que son capaces de hacer el cambio y crear puestos de trabajo e industrias. Pónganse de acuerdo y miren por los ciudadanos y no por las siglas....</t>
  </si>
  <si>
    <t>Cádiz, España</t>
  </si>
  <si>
    <t>Me gusta la gente que tiene sentido común.</t>
  </si>
  <si>
    <t>📰 De @Albert_Rivera sobre la #ConstituciónEspañola 👉Es una de las mejores del mundo" 👉Es de justicia reivindicarla y defenderla 👉Una reforma debe abordarse para satisfacer al pueblo español y NO para contentar a quienes quieren liquidar la nación 📲</t>
  </si>
  <si>
    <t>https://www.20minutos.es/noticia/3508559/0/albert-rivera-defender-nuestra-constitucion/#xtor=AD-15&amp;xts=467263#xtor=AD-15&amp;xts=467263</t>
  </si>
  <si>
    <t>https://pbs.twimg.com/media/Dtpf5fZXcAAAXnp.jpg</t>
  </si>
  <si>
    <t>Pablo Iglesias, Albert Rivera, joa...</t>
  </si>
  <si>
    <t>Juan Miguel Baquero</t>
  </si>
  <si>
    <t>Dice @ElviraLindo que los mensajes de odio "calan porque encuentran un enemigo al que atacar". Ya están aquí... CC @realDonaldTrump @vox_es @jairbolsonaro @matteosalvinimi @MLP_officiel... Y @pablocasado_ @Albert_Rivera --&gt; @DrDavidDuke</t>
  </si>
  <si>
    <t>https://www.eldiario.es/_323ad5dc</t>
  </si>
  <si>
    <t>Jesús Del Pozo</t>
  </si>
  <si>
    <t>freelance journalist</t>
  </si>
  <si>
    <t>Periodista. #MemoriaHistórica para @eldiarioes y más allá. 'Me alquilo para soñar. En realidad, era mi único oficio', Gabriel García Márquez.</t>
  </si>
  <si>
    <t>http://www.eldiario.es/autores/juan_miguel_baquero/</t>
  </si>
  <si>
    <t>🍊🔝</t>
  </si>
  <si>
    <t>Inés Arrimadas</t>
  </si>
  <si>
    <t>"Hay que estar muy orgullosos de ese gran acuerdo fraguado en la Transición, una suma de renuncias que cuajó en la semilla de lo que hoy es nuestra nación". No te pierdas este artículo de @Albert_Rivera sobre nuestra Constitución👇</t>
  </si>
  <si>
    <t>LlVis V</t>
  </si>
  <si>
    <t>https://www.20minutos.es/noticia/3508559/0/albert-rivera-defender-nuestra-constitucion/%23xtor=AD-15&amp;xts=467263%23xtor=AD-15&amp;xts=467263</t>
  </si>
  <si>
    <t>Derecho y ADE. Consultora. Líder de la Oposición y Presidenta de @CiutadansCs en el Parlament de Cataluña. Portavoz del Comité Ejecutivo de @CiudadanosCs</t>
  </si>
  <si>
    <t>https://www.instagram.com/inesarrimadas/</t>
  </si>
  <si>
    <t>Catalunya es el meu País, porto el Barça al cor i sóc un enamorat d'Egipte!!</t>
  </si>
  <si>
    <t>España qué bonita eres.</t>
  </si>
  <si>
    <t>Lo peor que puede hacer C,s es dar los escaños que les dieron los españoles a la extrema izquierda sociata-comunista, la que está apoyado el independentismo Catalán y Vasco, la dictadura Venezolana y Cubana la que está trayendo el odio entre los españoles. Cuidado @Albert_Rivera RT @CastigadorY: Ciudadanos pide la Junta a PP y PSOE porque sino se dará "la llave" a Vox, el partido de Rivera deja claro que prefiere decantarse hacia la izquierda corrupta y dar de lado a 400000 personas que han votado cambio con VOX, habéis estafado a los Andaluces.</t>
  </si>
  <si>
    <t>https://twitter.com/CastigadorY/status/1070009236128784385
https://www.elperiodico.com/es/politica/20181204/ciudadanos-pide-junta-andalucia-pp-psoe-llave-vox-7183248?utm_source=twitter&amp;utm_medium=social</t>
  </si>
  <si>
    <t>Valoro las personas de principios sanos y puros, que amen la verdad. Si esos sentimiento están en tu vida se bienvenido. Jesucristo. 🇪🇸 VOX 🇻🇪</t>
  </si>
  <si>
    <t>james perts</t>
  </si>
  <si>
    <t>Me parece que va a ser muy dificilbponerse de acuerdo, veo nuevas elecciones y entonces box desaparece.</t>
  </si>
  <si>
    <t>Hoy @Albert_Rivera ha escrito un artículo para @20M sobre la Constitución. 🗣 "Es una de las mejores del mundo" 👉 Su reforma debe hacerse para satisfacer al pueblo español, no a los que quieren romper España. 🗞 Léelo en</t>
  </si>
  <si>
    <t>https://pbs.twimg.com/media/DtpceRIXQAAWha5.jpg</t>
  </si>
  <si>
    <t>Gonza Fernández</t>
  </si>
  <si>
    <t>Al pobre y al feto, todo se le va en deseo. No hace falta decir que tú eres el feo, @Albert_Rivera RT @eldiarioes: El giro del discurso de Casado y Rivera: ya no piden que gobierne la lista más votada tras las elecciones andaluzas</t>
  </si>
  <si>
    <t>https://twitter.com/eldiarioes/status/1069554503345676288
https://www.eldiario.es/rastreador/Casado-Rivera-gobierne-elecciones-andaluzas_6_842075803.html</t>
  </si>
  <si>
    <t>https://pbs.twimg.com/media/DtfSG62WkAAlvI5.jpg</t>
  </si>
  <si>
    <t>Franc</t>
  </si>
  <si>
    <t>💰Todo por la "pasta" 📢Antes de Vox, Ciudadanos ya pactó por dinero con la extrema derecha @Albert_Rivera Rivera: “Cuando se pone sobre la mesa esa cantidad de #dinero te lo planteas"</t>
  </si>
  <si>
    <t>https://www.elplural.com/politica/antes-de-vox-ciudadanos-ya-pacto-por-dinero-con-la-extrema-derecha_207579102</t>
  </si>
  <si>
    <t>""Sin amo, ni soberano""</t>
  </si>
  <si>
    <t>Pablo-Mtnez-Calleja</t>
  </si>
  <si>
    <t>La "diferencia España" no es VOX sino PP y Ciudadanos. Ahora vemos más claro que antes suverdadera substancia derechista. Algo que no vemos ni en la CSU bávara.</t>
  </si>
  <si>
    <t>TARJOS</t>
  </si>
  <si>
    <t>Alemania</t>
  </si>
  <si>
    <t>Periodismo: la pasión por contar.</t>
  </si>
  <si>
    <t>El VELETA de @Albert_Rivera ahora se postula por el SILLÓN de la presidencia en Andalucía lo mismo que lo hizo en su día con @sanchezcastejon y @Pablo_Iglesias_ por un sillón en el Gobierno de España !! NO LE DEJEMOS QUE NOS VUELVA ATRAICIONAR !!!</t>
  </si>
  <si>
    <t>http://pablomartinezcalleja.blogspot.de</t>
  </si>
  <si>
    <t>unmundolibre</t>
  </si>
  <si>
    <t>Que alguien te mire como Albert Rivera mira a VOX para un pacto de Gobierno en Andalucía.</t>
  </si>
  <si>
    <t>Estoy orgulloso de mi pais (España) de mi bandera (Roja y Gualda) de mi religión (Católica) de mi Rey (y de mi Reina) y de la Policia (y de la Guardia Civil)</t>
  </si>
  <si>
    <t>https://pbs.twimg.com/media/DtqwjU3WsAEha2B.jpg</t>
  </si>
  <si>
    <t>Desde el vertedero</t>
  </si>
  <si>
    <t>Donde tú ves fotos, yo veo memes… y soy un poco 'cabronsete'. Gabriel Rufián me robó un meme…</t>
  </si>
  <si>
    <t>Angel Baena 🇪🇸</t>
  </si>
  <si>
    <t>A que viene tanto miedo del partido de @Albert_Rivera para apoyar al @PPopular y junto con @vox_es empezar a trabajar por Andalucía...Acaso tras cuatro años de apoyar a Susana Diaz, @CiudadanosCs tiene miedo a que se levantes la alfombras de la junta? 🤔</t>
  </si>
  <si>
    <t>https://www.elindependiente.com/politica/2018/12/05/ciudadanos-admite-que-la-candidatura-de-marin-es-para-empezar-a-negociar-con-moreno/?utm_source=share_buttons&amp;utm_medium=twitter&amp;utm_campaign=social_share2</t>
  </si>
  <si>
    <t>ME ENCANTA QUE LOS PLANES SALGAN BIEN 🤣</t>
  </si>
  <si>
    <t>#tiempoPactoARV 👂 decir que los violentos que quemaron contenedores es culpa de @Pablo_Iglesias_ ? No 👂 lo mismo cuando violentos agredian en Valencia, cuya manifestación la originó @Albert_Rivera 😞</t>
  </si>
  <si>
    <t>Ángel Luis Llamas</t>
  </si>
  <si>
    <t>.@CiudadanosCs ya no puede causar más repugnancia entre el catalanismo consciente del tipo de autoritarismo que representa @vox_es. Valoran que un pacto con Vox sólo significaría la sustitución del @PPCatalunya por los de @Santi_ABASCAL sin tocar a Cs</t>
  </si>
  <si>
    <t>Juan Pedro Serrano</t>
  </si>
  <si>
    <t>No habrá acuerdo @CiudadanosCs @PPopular @vox_es para #gobernarAndalucia. @pablocasado_ y @Albert_Rivera llevan mucho tiempo afeando a @sanchezcastejon sus posibles acuerdos con partidos no constitucionalistas, para hacer ellos lo mismo ahora. Son partidos serios, no? 😂</t>
  </si>
  <si>
    <t>Aragon, Spain</t>
  </si>
  <si>
    <t>Cloud Walker (Nefelibata digital)</t>
  </si>
  <si>
    <t>Valencia. España</t>
  </si>
  <si>
    <t>Docente jubilado, apasionado de la educación, entregado a la defensa de la escuela pública, gratuita, laica, de calidad.</t>
  </si>
  <si>
    <t>http://iessecundaria.wordpress.com</t>
  </si>
  <si>
    <t>FORZA ATLETI y</t>
  </si>
  <si>
    <t>Si el señor. @Albert_Rivera cediera, en el proximo gobierno tendriamos mayoria de @PPopular y @vox_es RT @okdiario: Iglesias plantea a Ciudadanos que ponga “encima de la mesa” un acuerdo para Andalucía</t>
  </si>
  <si>
    <t>mes</t>
  </si>
  <si>
    <t>Albert, deja la maría... Andalucía: Albert Rivera dispuesto al pacto con el PP y sin descartar a VOX pero con Marín de presidente</t>
  </si>
  <si>
    <t>https://okdiario.com/espana/andalucia/2018/12/05/rivera-dispuesto-pacto-pp-sin-descartar-vox-pero-marin-presidente-3430883#.XAgDVmN8PDs.twitter</t>
  </si>
  <si>
    <t>y gracias sabio (8)</t>
  </si>
  <si>
    <t>GRACIAS CHOLO!!</t>
  </si>
  <si>
    <t>Escritor de vocación</t>
  </si>
  <si>
    <t>Noxiam</t>
  </si>
  <si>
    <t>Les dirán que todo muy ejpañol mucho ejpañol! A que si? @Albert_Rivera i @pablocasado_ RT @cataladigitalok: Durísimo artículo de “Le Monde” contra Casado y Rivera: Deberán dar explicaciones a Europa si negocian con VOX</t>
  </si>
  <si>
    <t>https://twitter.com/cataladigitalok/status/1070000028331200517
http://cataladigital.cat/2018/12/04/durisimo-articulo-de-le-monde-contra-casado-y-rivera-deberan-dar-explicaciones-a-europa-si-negocian-con-vox/</t>
  </si>
  <si>
    <t>Costa Brava</t>
  </si>
  <si>
    <t>Republicano de catalunya!!! ✌🏻#dj Techno techouse house #JosócCDR</t>
  </si>
  <si>
    <t>Trinidad Concepcion</t>
  </si>
  <si>
    <t>A los tres días e despertado del letargo ,de lo que a pasado en mi tierra.Siento vergüenza que la gobernabilidad de mi Andalucía ,se este negociando ,en Madrid por Zipi y Zape o por el PPodrioo y los Naranjitos ? Andaluzes demostremos a Pablito y Albert Rivera ,lo que pasó 4Dici</t>
  </si>
  <si>
    <t>Cuenta @IdiazAyuso que @CiudadanosCs ha votado a favor de que inspectores puedan entrar en las casas a evaluar cuántas veces ha sacado el dueño al mamífero cánido, perro o chucho (según el caso). Mira @Albert_Rivera , que te den dos duros y UPedízate pronto. @hermanntertsch</t>
  </si>
  <si>
    <t>Dance Me To The End Of Love</t>
  </si>
  <si>
    <t>VKRipense✊M.Rajoy</t>
  </si>
  <si>
    <t>#LaManada Albert Rivera y Pablo Casado corriendo por que les pilla Voz.</t>
  </si>
  <si>
    <t>Max Pradera</t>
  </si>
  <si>
    <t>Oye @manuelvalls ¿sabes que @Albert_Rivera es humo, verdad? ¿Que no es más que un arribista verborreico que hoy dice blanco, mañana negro y al otro se abstiene?</t>
  </si>
  <si>
    <t>https://pbs.twimg.com/media/DtqvawPW0AAhw1h.jpg</t>
  </si>
  <si>
    <t>https://www.google.es/amp/s/m.publico.es/politica/albert-rivera-dispuesto-no-credibilidad.html/amp</t>
  </si>
  <si>
    <t>Ubi libertas, ibi patria</t>
  </si>
  <si>
    <t>Opinión https://goo.gl/DJQf42 Radio https://goo.gl/i8Nj6a Postureo https://goo.gl/V4VHgA Blog https://goo.gl/Umi346 Gelinek https://goo.gl/xbDTSj</t>
  </si>
  <si>
    <t>http://www.lecturalia.com/autor/2983/joseph-gelinek</t>
  </si>
  <si>
    <t>Republicano y convencido de q otro mundo es posible y un mañana mejor para nuestros hijos</t>
  </si>
  <si>
    <t>https://www.facebook.com/groups/188327201920251/</t>
  </si>
  <si>
    <t>✍️Defender y actualizar nuestra Constitución por @Albert_Rivera 🇪🇸La reforma de la Carta Magna debe satisfacer a los españoles, no a quienes quieren liquidar la nación ⛔️ ✔️Garantizar la igualdad entre españoles ✔️Regenerar la vida pública ➡️ vía @20m</t>
  </si>
  <si>
    <t>https://pbs.twimg.com/media/DtpTyCfXgAAvAAc.jpg</t>
  </si>
  <si>
    <t>Fernando de Pablo</t>
  </si>
  <si>
    <t>No entiendo que, para la investidura fallida de @sanchezcastejon , @Albert_Rivera pidiera el voto de @ahorapodemos , y para la de Moreno Bonilla no acepte los de @vox_es Según razona ahora, él debería haber pedido el voto de PP y PSOE para ser Presidente en 2015. @ExpositoCOPE RT @JLP11959: Pues la entrevista que está mañana ha hecho Carlos Herrera al Sec. Gral. de CS es para enmarcarla. Este Sr. ha hecho perder a su partido un montón de votos, ha sido patético. Perdonen que no diga su nombre, pero es que no me suelo acordar de los mediocres.</t>
  </si>
  <si>
    <t>Hugo Martínez Abarca</t>
  </si>
  <si>
    <t>"A día de hoy me parecería poco responsable descartar llegar a un acuerdo de gobierno con Vox". Albert Rivera. Centrista.</t>
  </si>
  <si>
    <t>https://twitter.com/JLP11959/status/1069979459569238016</t>
  </si>
  <si>
    <t>Diputado de Podemos en la Asamblea de Madrid. Algo parecido a “mis memorias” aquí 👉http://www.martinezabarca.net/informacion</t>
  </si>
  <si>
    <t>http://www.martinezabarca.net</t>
  </si>
  <si>
    <t>Esposo y padre de siete hijos. Hijo, hermano, sobrino, tío... Funcionario de Carrera especializado en contabilidad y subvenciones.</t>
  </si>
  <si>
    <t>Mgg</t>
  </si>
  <si>
    <t>Mazcota</t>
  </si>
  <si>
    <t>Grande este político. Los @Albert_Rivera @pablocasado_ deberian aprender a hablar sin complejos y los @sanchezcastejon @IGLEW92 y su jauría deberían desaparecer del mapa por #traidores a la #Democracia de #España #AbascalAR</t>
  </si>
  <si>
    <t>Tras el blanqueo sistemático de los medios de comunicación nacionales, a ver lo que tarda Albert Rivera en decir que VOX no es ultraderecha y que, perfectamente, se puede pactar con ellos.</t>
  </si>
  <si>
    <t>Mujer, madre, #Pamplona #Navarra. Asqueada de un sistema que premia a los pelotas y estómagos agradecidos. Las #feminazis no me representan, me represento sola.</t>
  </si>
  <si>
    <t>Daniel Lobato</t>
  </si>
  <si>
    <t>Por favor, que alguien haga un meme con este vicealmirante ruso, Albert Rivera y Kant: "Kant escribió unos libros incomprensibles que nadie de los que están aquí ha leído ni leerá nunca”</t>
  </si>
  <si>
    <t>David Escudero</t>
  </si>
  <si>
    <t>Thousands of #antifascist protesters out on the streets against #VOXAndalucia Se os debería caer la cara de vergüenza @Cs_Andalucia, @Albert_Rivera, @ppandaluz solo por contemplar un pacto. #poderatodacosta</t>
  </si>
  <si>
    <t>https://elpais.com/internacional/2018/12/04/actualidad/1543949356_728735.html</t>
  </si>
  <si>
    <t>pic.twitter.com/NRzUYVVo3A</t>
  </si>
  <si>
    <t>Palestine, Rojava</t>
  </si>
  <si>
    <t>Activista y a veces escribo sobre Oriente Medio en infolibre/publico/eldiario/rebelion. Sobreviviendo a censuras de twitter. El hombre mojado no teme la lluvia</t>
  </si>
  <si>
    <t>https://www.facebook.com/muleyhassan</t>
  </si>
  <si>
    <t>Copenhagen, Denmark</t>
  </si>
  <si>
    <t>Activista, anticapitalista, y antifascista ❤️ Fighting for climate justice, human rights over investor's rights, and system change 🌄 MSc in Climate Change</t>
  </si>
  <si>
    <t>El Racó de pensar de Sant Esteve de les Roures</t>
  </si>
  <si>
    <t>Ana Rosa Quintana ha invitado esta mañana a su programa al líder supremo de VOX, Santiago Abascal, y ha establecico un nuevo récord Guiness de número de felaciones en una entrevista. El anterior registro estaba en posesión de Susana Griso en su entrevista a Albert Rivera.</t>
  </si>
  <si>
    <t>https://pbs.twimg.com/media/DtquInAXgAAaPNf.jpg</t>
  </si>
  <si>
    <t>Cs Sant Andreu</t>
  </si>
  <si>
    <t>👉 40 aniversario de nuestra Constitución. Ven a celebrarlo, te esperamos esta tarde, @CiudadanosCs con @Albert_Rivera, @InesArrimadas y @manuelvalls 📅 Día 5 de diciembre ⏰19.00 h 📍Auditorio del Conservatorio Liceu de Barcelona. #40añosdeConstitución⁠ ⁠</t>
  </si>
  <si>
    <t>https://pbs.twimg.com/media/DtpQ5TLWwAUmGdA.jpg</t>
  </si>
  <si>
    <t>SÍGUENOS, te ESCUCHAMOS. Perfil oficial de la Agrupación del Distrito de Sant Andreu. Partido político liberal-progresista y no nacionalista.</t>
  </si>
  <si>
    <t>Dionis Cenusa</t>
  </si>
  <si>
    <t>Eso de verdad es un crimen. Como el @PSOE quiere tapar los documentos que esconden algo, talvez la corrupción de 40 años, que ahora quieren borrar aumentando el odio antes los de @vox_es. Esto es la estrategia de @sanchezcastejon, más de poner presión sobre @Albert_Rivera RT @Tonicanto1: Un camión se lleva documentos de la Junta de Andalucía en Cádiz.</t>
  </si>
  <si>
    <t>cesar appelgren</t>
  </si>
  <si>
    <t>Ciudadanos y PSC pactan con los Independentistas ??? A CAMBIO de que ?? Ya me imagino a Albert Rivera con LAZO AMARILLO !!! NO ENTIENDO NADA.</t>
  </si>
  <si>
    <t>https://twitter.com/Tonicanto1/status/1070243447066513408
https://www.cope.es/emisoras/andalucia/cadiz-provincia/cadiz/noticias/camion-lleva-documentos-junta-andalucia-cadiz-20181204_304460</t>
  </si>
  <si>
    <t>Researcher JLU University Germany, Associated @Expert_Grup, Contributor @AgentiaIPN. EU-ex-SovietSpace-Russia/oligarchic regimes/state fragility RT≠endorsement</t>
  </si>
  <si>
    <t>http://cenusadi.wordpress.com</t>
  </si>
  <si>
    <t>Mi hija lanza su primera línea de joyas, plata de ley, Swarovski, piedra natural reconstituida tipo... Instagram: @joyasavril</t>
  </si>
  <si>
    <t>Uno de Soto</t>
  </si>
  <si>
    <t>Sr @Albert_Rivera enséñele este vídeo a @manuelvalls, bueno lo podéis ver todos de @CiudadanosCs, para que lo del cordón sanitario se lo meta por el orto, ya que estamos en una semana muy argentina con la @Libertadores</t>
  </si>
  <si>
    <t>Manuel J. Guzmán</t>
  </si>
  <si>
    <t>"Albert Rivera, España y Europa" Por Raúl del Pozo</t>
  </si>
  <si>
    <t>pic.twitter.com/gVKMl9QZxL</t>
  </si>
  <si>
    <t>https://pbs.twimg.com/media/Dtqs5NNW4AAf8Iq.jpg</t>
  </si>
  <si>
    <t>37°53'00 N 04°46'00 O</t>
  </si>
  <si>
    <t>Opinión de: F. Jiménez Losantos, Hermann Tertsch, César Vidal, Antonio Burgos, Isabel San Sebastián, J. Ramón Rallo, C. Rodríguez Braun, John Müller... TT</t>
  </si>
  <si>
    <t>This Is The Official Twitter Of Pablo. Liberal, católico y no madridista. Mi familia lo más importante. COMUNISMO: una lacra para los pueblos, demostrado.</t>
  </si>
  <si>
    <t>http://www.facebook.com/sotocerrato</t>
  </si>
  <si>
    <t>Albert Rivera sobre pactar con Vox: "Sería poco responsable descartar cualquier escenario"</t>
  </si>
  <si>
    <t>http://telemd.es/g6qqa4</t>
  </si>
  <si>
    <t>Paco Ojeda</t>
  </si>
  <si>
    <t>Dilema poco, @Albert_Rivera. No pueden ser cómplices de cuatro años más de Susanismo. Están llamados a cambiar el rumbo de Andalucía, no nos defraude.</t>
  </si>
  <si>
    <t>https://pbs.twimg.com/media/DtpOJMtX4AA-IL_.jpg</t>
  </si>
  <si>
    <t>"Somos rock&amp;roll. Pim, pam, pum. Tralla, que pasen cosas"</t>
  </si>
  <si>
    <t>LaBeg1o.cat🐈 🎗️ #llibertat</t>
  </si>
  <si>
    <t>A ver si os enteráis de una vez @InesArrimadas @Albert_Rivera @pablocasado_</t>
  </si>
  <si>
    <t>https://www.rac1.cat/programes/el-mon/20181204/453335051131/carta-pres-comu-lledoners-presos-independentistes-fotografia.html?utm_source=facebook&amp;utm_medium=social&amp;utm_campaign=rac1oficial</t>
  </si>
  <si>
    <t>Donec Perficiam ✊ Fue el lema de las Reales Guardias Catalanas -la guardia de corps de Carlos de Austria - durante la Guerra de Sucesión Española.</t>
  </si>
  <si>
    <t>.@manuelvalls presiona a @Albert_Rivera sobre un pacto con Vox en Andalucía: "No puede haber compromiso con la extrema derecha"</t>
  </si>
  <si>
    <t>En este país, los demócratas son, los que ponían bombas bajo los coches, los que te matan por llevar unos tirantes de España o los que envían una bala a Albert Rivera. ¿Tanto cuesta separar de la sociedad a esta basura con la de islas que tenemos?</t>
  </si>
  <si>
    <t>http://bit.ly/2RBtkfU</t>
  </si>
  <si>
    <t>https://pbs.twimg.com/media/DtpNJZuX4AArhce.jpg</t>
  </si>
  <si>
    <t>https://pbs.twimg.com/media/DtqsXB5WwAEyknp.jpg</t>
  </si>
  <si>
    <t>Pues claramente va ganando una opción. A ver qué decide @CiudadanosCs @Albert_Rivera @JuanMarin_Cs @javierimbroda Por cierto, dijeron que jamás pactarían con el PSOE. Si ahora tienen miedo por esos 10 escaños que les han llegado del PSOE, que mediten si merece la pena mentir. RT @martinidemar: A ver, encuesta con muchos RTs, por favor. De estas opciones, ¿cuál prefieres? #EleccionesAndaluzas #Pactos</t>
  </si>
  <si>
    <t>https://twitter.com/martinidemar/status/1070027230447841280</t>
  </si>
  <si>
    <t>manuellopezmariño</t>
  </si>
  <si>
    <t>https://okdiario.com/espana/andalucia/2018/12/05/rivera-dispuesto-pacto-pp-sin-descartar-vox-pero-marin-presidente-3430883#.XAf93-tZDWw.twitter</t>
  </si>
  <si>
    <t>hector m. garrido</t>
  </si>
  <si>
    <t>Hoy escriben en @20m con motivo de los 40 años de Constitución @sanchezcastejon @pablocasado_ @Albert_Rivera y @ierrejon. Si queréis leer sus tribunas, en  -&gt;</t>
  </si>
  <si>
    <t>http://20minutos.es</t>
  </si>
  <si>
    <t>Monte xalo</t>
  </si>
  <si>
    <t>https://pbs.twimg.com/media/DtpLjwaW0AAIMUf.jpg</t>
  </si>
  <si>
    <t>Mi pasion el DEPOR, mi afición la fotografia, colaborador de 21 NOTICIAS. Mis BLOG XALOMONTE FOTOGRAFIA BLOG y RIAZORDEPORTIVO BLOG</t>
  </si>
  <si>
    <t>http://riazordeportivo.blogspot.com.es</t>
  </si>
  <si>
    <t>madrid, spain</t>
  </si>
  <si>
    <t>Periodista. Escribo sobre economía en @20m aunque preferiría vivir en Tralfamadore.</t>
  </si>
  <si>
    <t>Buenos días @Albert_Rivera así que Inés es la que bate el cobre y Manolo el que ordena y manda sin un solo voto que lo avale. RT @europapress: Valls rechaza un pacto de Cs con Vox en Andalucía: "No puede haber ningún compromiso con la extrema derecha"</t>
  </si>
  <si>
    <t>https://twitter.com/europapress/status/1070240211773345792
https://www.europapress.es/nacional/noticia-valls-rechaza-pacto-cs-vox-andalucia-no-puede-haber-ningun-compromiso-extrema-derecha-20181205094830.html</t>
  </si>
  <si>
    <t>EL MELENAS</t>
  </si>
  <si>
    <t>Sr @Albert_Rivera ¿ Si no permite que sea @JuanMa_Moreno PRESIDENTE DE ANDALUCÍA demuestra su AVARICIA, que no demostro cuando ganó las elecciones en Cataluña ¿ Porqué? ¿ Por fastidiar al PP ? Vallase de una vez a Cataluña y dejé en paz ESPAÑA</t>
  </si>
  <si>
    <t>https://pbs.twimg.com/media/DtpIOv1WoAM1TRd.jpg</t>
  </si>
  <si>
    <t>SINCERO,REALISTA,NATURALISTA Y OPTIMISTA, así me calificaría simplemente.</t>
  </si>
  <si>
    <t>https://pbs.twimg.com/media/Dtqp4b4X4AAhcEF.jpg</t>
  </si>
  <si>
    <t>Valls: "Ciudadanos no puede pactar con Vox". No sé si @Albert_Rivera habrá escuchado esto. Igual se enfada con su fichaje estrella...  vía @elpais_espana</t>
  </si>
  <si>
    <t>https://elpais.com/politica/2018/12/04/actualidad/1543908109_773507.html?id_externo_rsoc=TW_CC</t>
  </si>
  <si>
    <t>¡Pues anda que en Zimbawe...!</t>
  </si>
  <si>
    <t>Chavero</t>
  </si>
  <si>
    <t>Al tal Aznar le importó tres cojones gobernar con el apoyo de Pujol, papá independentista. Ahora quiere gobernar con @vox_es , hijo fascista, y es porque le importa tres cojones #EspañaViva lo que quiere es forrar a sus hijos. Y @Albert_Rivera como se descuide de mamporrero.</t>
  </si>
  <si>
    <t>Amsterdam, Holanda</t>
  </si>
  <si>
    <t>Si todos fuésemos como dicen que éramos cuando nos morimos España seria la hostia.</t>
  </si>
  <si>
    <t>http://lettere.es</t>
  </si>
  <si>
    <t>RosaMaria</t>
  </si>
  <si>
    <t>Si @Albert_Rivera apoya ahora al PSOE en Andalucía ...flaco favor estará haciendo a su partido @CiudadanosCs y a sus votantes,porque NO le perdonarán esta nueva traición a España y TODOS españoles,NI entenderán,que apoyen a un partido cuya cúp/está salpicada de corrup/por+40 años RT @desamparadosb: Albert Rivera lo dice muy claro apoyará al PSOE, lo acabo de oír en declaraciones anteriores a las elecciones. Asi que no me digan que no.</t>
  </si>
  <si>
    <t>Jose Antonio Sorzano</t>
  </si>
  <si>
    <t>De cada 10 franceses, 7 apoyan totalmente el movimiento de protesta de los llamados "CHAQUETAS AMARILLAS". Estos han marcado un antes y un después en la política LIBERAL francesa de MACRON, homólogo francés de ALBERT RIVERA, en cuanto a la perdida del Estado de Bienestar galo.</t>
  </si>
  <si>
    <t>https://twitter.com/desamparadosb/status/1070231247836889088</t>
  </si>
  <si>
    <t>https://pbs.twimg.com/media/DtqpNqIXcAEc47b.jpg</t>
  </si>
  <si>
    <t>Aclaración sobre art. #7DNI y admisión Demanda-A.N.Fue otro #FRAUDEJudicial+:Políti/-jueces y Bancos,se quedaron con todo:9.350.000 E. https://gab.ai/RosaMSJ</t>
  </si>
  <si>
    <t>en los sitios donde aterrizo</t>
  </si>
  <si>
    <t>Jojojojo😂😂😂😂😂 #AbascalAR llama al @PPopular “derechita cobarde” y a @anarosaq se le mojan las bragas. @Albert_Rivera con un ataque de cuernos.</t>
  </si>
  <si>
    <t>Periodista y abogado sin ninguna pretension</t>
  </si>
  <si>
    <t>Asociación MSPE</t>
  </si>
  <si>
    <t>Desde @AsociacionMSPE queremos manifestar nuestra preocupación ante las propuestas discriminatorias de @vox_es respecto a los modelos plurales de familia. Una sociedad de familias diversas es una sociedad libre. @sanchezcastejon @Pablo_Iglesias_ @pablocasado_ @Albert_Rivera</t>
  </si>
  <si>
    <t>https://pbs.twimg.com/media/DtpDzQpXgAUeRoL.jpg</t>
  </si>
  <si>
    <t>Asociación de mujeres que hemos optado libremente por formar una #FamiliaMonoparental trabajamos en Red reivindicando nuestro modelo de familia👩‍👧‍👦👩‍👧👩‍👦‍👦</t>
  </si>
  <si>
    <t>http://madressolterasporeleccion.org/</t>
  </si>
  <si>
    <t>allsetic</t>
  </si>
  <si>
    <t>Que todos incluyéramos a Ciudadanos en un pacto con Vox y el PP tras los resultados andaluces es un síntoma claro de hasta dónde ha llevado Rivera los valores europeístas, demócratas y liberales que dice defender su partido.  Por margayakovenko</t>
  </si>
  <si>
    <t>#allsetic</t>
  </si>
  <si>
    <t>http://allsetic.com</t>
  </si>
  <si>
    <t>Pásalo para que llegue a todos los rincones de España 🏃‍♂️👇🙏 @Albert_Rivera @Cs_Andalucia: No permita que los corruptos del PSOE sigan gobernando Andalucía. Únase al #PartidoPopular y a #Vox para echarlos de una vez #FueraPSOE. FIRMA:</t>
  </si>
  <si>
    <t>http://www.citizengo.org/hazteoir/pc/167099-al-psoe-ni-agua-sr-rivera?tc=tw&amp;tcid=52532561</t>
  </si>
  <si>
    <t>eClipssi</t>
  </si>
  <si>
    <t>Que todos incluyéramos a Ciudadanos en un pacto con Vox y el PP tras los resultados andaluces es un síntoma claro de hasta dónde ha llevado Rivera los valores europeístas, demócratas y liberales que dice defender su partido.  Por margayakovenko Via PlayG…</t>
  </si>
  <si>
    <t>https://pbs.twimg.com/media/Dtqm_vMWoAUz-_i.jpg</t>
  </si>
  <si>
    <t>Bogotá, Colombia</t>
  </si>
  <si>
    <t>Productora audiovisual</t>
  </si>
  <si>
    <t>http://eclipssi.com</t>
  </si>
  <si>
    <t>Albert Rivera, España y Europa por .⁦@rauldelpozoem⁩</t>
  </si>
  <si>
    <t>Salander62</t>
  </si>
  <si>
    <t>Empieza la operación blanqueo de la extrema derecha en las televisiones patrias, dirigido sutilmente por el nefasto Aznar para convencer a @Albert_Rivera de que se una al frente nacional q va a comenzar su reconquista a caballo desde Andalucía. ..</t>
  </si>
  <si>
    <t>Asturias patria querida ....</t>
  </si>
  <si>
    <t>Martha 💚💙💚💙</t>
  </si>
  <si>
    <t>Pues Cds pagarán en las generales. Eso tienen que asumirlo si dan otro paso que no sea apoyar al pp+Vox @Albert_Rivera @CiudadanosCs RT @ivanedlm: Esto mejora por momentos! Ciutadans podría gobernar en Andalucía apoyado en Podemos. La cara de algunos votantes de Cs ahora mismo debe ser para verla... “Podemos no descarta permitir que Cs gobierne Andalucía para cerrar el paso a Vox”  via @elespanolcom</t>
  </si>
  <si>
    <t>https://twitter.com/ivanedlm/status/1070096968553299970
https://www.elespanol.com/espana/politica/20181204/podemos-no-permitir-cs-gobierne-andalucia-vox/358214715_0.html</t>
  </si>
  <si>
    <t>SEMPER FI</t>
  </si>
  <si>
    <t>𝕽𝖆𝖉𝖎𝖔 𝕻𝖔𝖑𝖑𝖆 𝕱𝖒 ℹ</t>
  </si>
  <si>
    <t>Albert Rivera tambien le habla a las vacas. - Dime vaquita, me votarás a mi? Solo a mi?</t>
  </si>
  <si>
    <t>pic.twitter.com/fu05CeLA1i</t>
  </si>
  <si>
    <t>🌞 ¡Buenos días y #felizmiércoles! 🗞 "La Constitución española de 1978 es una de las mejores del mundo. Eso es una realidad jurídica, política e histórica irrebatible" 👉 Imprescindible este artículo de @Albert_Rivera sobre nuestra Constitución 📲</t>
  </si>
  <si>
    <t>𝕴𝖓𝖉𝖊𝖕𝖊𝖓𝖉𝖊𝖓𝖈𝖎𝖆 &amp; 𝖍𝖚𝖒𝖔𝖗, 𝕾𝖎 𝖒𝖊 𝖘𝖎𝖌𝖚𝖊𝖘 𝖊𝖘 𝖇𝖆𝖏𝖔 𝖙𝖚 𝖗𝖊𝖘𝖕𝖔𝖓𝖘𝖆𝖇𝖎𝖑𝖎𝖉𝖆𝖉.</t>
  </si>
  <si>
    <t>https://pbs.twimg.com/media/DtpB3I-WwAA8ZHx.jpg</t>
  </si>
  <si>
    <t>Antonio Moreno Ferrer</t>
  </si>
  <si>
    <t>Susana Díaz: "Los que hemos ganado las elecciones, aunque le pese al señor Albert Rivera, somos el PSOE de Andalucía”</t>
  </si>
  <si>
    <t>https://pbs.twimg.com/media/DtqmTU0WkAAPPF1.jpg</t>
  </si>
  <si>
    <t>Vélez-Málaga</t>
  </si>
  <si>
    <t>Alcalde de Vélez-Málaga 🇪🇸 y candidato a la reelección 🗳. Juntos construimos una ciudad mejor, más bella, solidaria y emprendedora ⬆️ ¿Hablamos? 😊</t>
  </si>
  <si>
    <t>https://www.facebook.com/morenoferreralcalde</t>
  </si>
  <si>
    <t>Ana Pantaleoni</t>
  </si>
  <si>
    <t>A ver qué dice @Albert_Rivera RT @elpaiscatalunya: Manuel Valls: "Ciudadanos no puede pactar con Vox"  vía @elpaiscatalaunya</t>
  </si>
  <si>
    <t>PlayGround</t>
  </si>
  <si>
    <t>Que todos incluyéramos a Ciudadanos en un pacto con Vox y el PP tras los resultados andaluces es un síntoma claro de hasta dónde ha llevado Rivera los valores europeístas, demócratas y liberales que dice defender su partido.  Por @margayakovenko</t>
  </si>
  <si>
    <t>https://twitter.com/elpaiscatalunya/status/1070239275399213056
https://elpais.com/politica/2018/12/04/actualidad/1543908109_773507.html?id_externo_rsoc=TW_CC</t>
  </si>
  <si>
    <t>Periodista de EL PAÍS. En @elpaiscat @elpaiscatalunya</t>
  </si>
  <si>
    <t>http://www.elpais.com</t>
  </si>
  <si>
    <t>Worldwide</t>
  </si>
  <si>
    <t>Like, Share &amp; Do.</t>
  </si>
  <si>
    <t>http://playgroundmag.net</t>
  </si>
  <si>
    <t>robert refort</t>
  </si>
  <si>
    <t>☀️☕️ ¡Buenos días! Hoy @Albert_Rivera ha escrito un artículo para @20M sobre la Constitución. 🗣 "Es una de las mejores del mundo" 👉 Su reforma debe hacerse para satisfacer al pueblo español, no a los que quieren romper España. 🗞 Léelo en</t>
  </si>
  <si>
    <t>Bien por Albert Rivera es el momento de negociar lo que piden los andaluces</t>
  </si>
  <si>
    <t>https://pbs.twimg.com/media/Dto_2r1XcAArhUW.jpg</t>
  </si>
  <si>
    <t>Max, joven gay🎄</t>
  </si>
  <si>
    <t>El líder de Ciudadanos, Albert Rivera, no descarta el apoyo de Vox en un pacto entre Ciudadanos y PP para gobernar #Andalucía VOX es un partido que quiere acabar con el matrimonio igualitario, la ley trans, la ley LGTBI...  @Shangaycom @dosmanzanas</t>
  </si>
  <si>
    <t>https://elpais.com/politica/2018/12/04/actualidad/1543908109_773507.html</t>
  </si>
  <si>
    <t>https://pbs.twimg.com/media/DtqlEWLWsAUvrLl.jpg</t>
  </si>
  <si>
    <t>Andalucía, España 🇪🇸🇪🇺</t>
  </si>
  <si>
    <t>Reciclar en el barrio Zrgza de La Almozara tiene premio para el bolsillo como prueba piloto española de q si se pagan los residuos se recicla más @UEmadrid @CasaReal @sanchezcastejon @pablocasado_ @Pablo_Iglesias_ @Albert_Rivera</t>
  </si>
  <si>
    <t>Blog de un joven gay con ganas de defender los derechos 🌈LGTBI, la socialdemocracia 🌹 y el ecologismo🌻. Más humanismo 🌍 y menos nacionalismo. Cristi</t>
  </si>
  <si>
    <t>http://maxjovengay.blogspot.com.es/</t>
  </si>
  <si>
    <t>http://shr.gs/uJHKBXN</t>
  </si>
  <si>
    <t>ABC de Sevilla</t>
  </si>
  <si>
    <t>Albert Rivera insiste en que su candidato debe ser el presidente en coalición con el #PP y pide a Susana Díaz su abstención sin querer descartar la participación de #Vox  #Ciudadanos</t>
  </si>
  <si>
    <t>http://ow.ly/guDw30mSnih</t>
  </si>
  <si>
    <t>Noticias #Sevillahoy, #Andalucíahoy, #ProvinciaSev ¿Hablamos?. También en Facebook: https://www.facebook.com/abcdesevilla #SSantaSevABC #SSanta18</t>
  </si>
  <si>
    <t>http://www.abcdesevilla.es</t>
  </si>
  <si>
    <t>#loshuevos</t>
  </si>
  <si>
    <t>Esperando a que utilice esa regla de tres para el amigo #MasEspañolQueNadie @Albert_Rivera. #LeyMargarito ...a este Sí, a este NO. RT @teoleongross: @leirediezpas Estimada, no sé lo que entiendes por Margarito, pero es un modo popular de llamar a quien cambia mucho... Y es exactamente lo que está pasando. Me sorprende a mí muchísimo que siendo periodista, tengas ese instinto de protección de quien está en el poder antes que en los hechos.</t>
  </si>
  <si>
    <t>https://twitter.com/teoleongross/status/1070226495606538240</t>
  </si>
  <si>
    <t>PLSD</t>
  </si>
  <si>
    <t>Hasta los huevos de periodistas parciales al dictado de los políticos corruptos.</t>
  </si>
  <si>
    <t>Fundado en Diciembre de 2011</t>
  </si>
  <si>
    <t>http://www.plsd.es</t>
  </si>
  <si>
    <t>casadelabono#perigal</t>
  </si>
  <si>
    <t>#AbascalAR El cáncer para la democracia @vox_es con @Santi_ABASCAL al frente hay q erradicarlo antes dq se extienda x todo el organismo, pero con políticas no con violencia @Pablo_Iglesias_ @sanchezcastejon @pablocasado_ Y @Albert_Rivera Tienen q ponerse las pilas. @loretoochando</t>
  </si>
  <si>
    <t>fanpaul</t>
  </si>
  <si>
    <t>Parece q @Albert_Rivera no se acuerda del apoyo de @fdenaes cuando Abascal la dirigía</t>
  </si>
  <si>
    <t>miembro de las perigosas celulas del libertariado galaico #LET</t>
  </si>
  <si>
    <t>El personalismo y la alocada ambición d @Albert_Rivera, frustrado en el sorpasso en #EleccionesAndalucía, donde esperaba visualizarse líder d la derecha, ES UN PROBLEMA DEMOCRÁTICO #ElCascabel5D #Gato_Directo #Tabarnia #LaMañanaTVE #LaNoche24h #LosDesayunos #d24 #PP #Psoe 🐷#Psc RT @epesimo: El personalismo, la ambición descontrolada d @Albert_Rivera, va a darnos disgustos. Ojala sus compañeros, o la presión social sobre #Ciudadanos, corrija esa ambición desenfrenada #AndalucíaDecide #Andalucía #AndalucíaAR3D #SusanaNOJuntaESP #EleccionesAndalucía #LosDesayunos #24H</t>
  </si>
  <si>
    <t>https://twitter.com/epesimo/status/1069506934179536896</t>
  </si>
  <si>
    <t>Olga Ballester Nebot</t>
  </si>
  <si>
    <t>Marratxí, Baleares, España</t>
  </si>
  <si>
    <t>Licenciada en Bioquímica por @UV_EG. Profesora de secundaria y cofundadora de PLIS Educación. Actualmente Diputada de @CsBaleares. ن</t>
  </si>
  <si>
    <t>Elena González</t>
  </si>
  <si>
    <t>Hay una cosa que @Albert_Rivera debería aprender de Santiago Abascal. A no quedar bien con nadie. Lo que perderá en pactos lo ganará en votos.</t>
  </si>
  <si>
    <t>Nihilista</t>
  </si>
  <si>
    <t>https://excesodeyang.wordpress.com/</t>
  </si>
  <si>
    <t>montse varderi 🎗🌹🌹</t>
  </si>
  <si>
    <t>El editorial de 'Le Monde' que debería leer Albert Rivera</t>
  </si>
  <si>
    <t>https://www.elnacional.cat/es/politica/editorial-monde-leer-albert-rivera_331719_102.html</t>
  </si>
  <si>
    <t>“@sanchezcastejon no puede gobernar España con 84 diputados pero los FasC’stas (@CiudadanosCs) queremos gobernar Andalucía con 21” @Albert_Rivera</t>
  </si>
  <si>
    <t>https://pbs.twimg.com/media/Dto7QaHWkAAU_e9.jpg</t>
  </si>
  <si>
    <t>Ara jubilada, després de 44 anys de treball molt actiu. Enamorada de la natura i dels animals. Preocupada del futur de Catalunya a nivell cultural i social.🌹🌹🌹🌹</t>
  </si>
  <si>
    <t>El choque entre Albert Rivera y Manuel Valls, según el corresponsal de 'Le Figaro'</t>
  </si>
  <si>
    <t>#DenunciarAPabloIglesias Disturbios en las calles provocados por el "#constinucionalista" @Pablo_Iglesias_ de galapagar ¿A qué esperáis, a que lo denuncie yo? @Santi_ABASCAL @Albert_Rivera @pablocasado_</t>
  </si>
  <si>
    <t>Sonia Reina Sánchez</t>
  </si>
  <si>
    <t>☝🏼 ¡ Estamos de aniversario ! Esta semana nuestra Constitución cumple 40 años 🎂 y vamos a celebrarlo por todo lo alto con @Albert_Rivera @InesArrimadas y @manuelvalls ¡¡¡ Nos vemos esta tarde !!! #40AñosDeConstitución</t>
  </si>
  <si>
    <t>https://pbs.twimg.com/media/Dto5yrRWwAAlOVe.jpg</t>
  </si>
  <si>
    <t>Abogada➡el Derecho, mi pasión❤ Delegada en CAT FIDH @declaracion 📃 Consellera @CsLesCorts Barcelona 🍊 Responsable RRII BCN Ciudad 🍊</t>
  </si>
  <si>
    <t>CANAL ⓩ</t>
  </si>
  <si>
    <t>Rivera insiste en que Marín sea presidente con el apoyo del PP y no descarta "ningún escenario" sobre Vox</t>
  </si>
  <si>
    <t>https://www.20minutos.es/noticia/3509445/0/albert-rivera-pactos-andalucia-vox-sanchez/</t>
  </si>
  <si>
    <t>https://pbs.twimg.com/media/DtqiG5vX4AIDumM.jpg</t>
  </si>
  <si>
    <t>Sin duda un error de @Albert_Rivera q pagarán caro @CiutadansCs y @CiutadansBCN RT @pacomarhuenda: Lo de @manuelvalls es un disparate. Es un burócrata socialista. Ni siquiera es socialdemócrata. Representa lo peor de la política. Un tipo que lleva toda su vida viviendo de la política. No aporta nada. @eslamananadeFJL</t>
  </si>
  <si>
    <t>https://twitter.com/pacomarhuenda/status/1070229817352704000</t>
  </si>
  <si>
    <t>Canal Z Noticias. #Lifestyle #Cultura #Ciencia #Tecnología #Ocio e información que te hace diferente » Solo las cosas que importan y seguirán importando siempre</t>
  </si>
  <si>
    <t>Álvaro Narváez</t>
  </si>
  <si>
    <t>Parece que tienen las cosas claras. Las tienes tú también @Albert_Rivera ? RT @FSerranoCastro: Desde @vox_es dejamos claras nuestras prioridades para Andalucía: -Devolución de las competencias de Sanidad y Educación -Fin de los impuestos abusivos e injustos -Derogación de las leyes ideológicas -Defensa de nuestras tradiciones -Fronteras seguras -España, lo primero</t>
  </si>
  <si>
    <t>https://twitter.com/FSerranoCastro/status/1070058259787198466</t>
  </si>
  <si>
    <t>Azaña Cabreado</t>
  </si>
  <si>
    <t>Albert Rivera ahora mismo.</t>
  </si>
  <si>
    <t>https://youtu.be/a01QQZyl-_I</t>
  </si>
  <si>
    <t>Patriota, nacido el 4 de Julio. London</t>
  </si>
  <si>
    <t>Fui Presidente de la Segunda República Española. Liberal de izquierdas, burgués, y republicano español.</t>
  </si>
  <si>
    <t>★Antídoto★ 🎗🔻</t>
  </si>
  <si>
    <t>Dice @Albert_Rivera que Pedro Sánchez no puede gobernar España con 86 diputados, pero @CiudadanosCs en Andalucía si, con 21... #LaCafeteraPactox</t>
  </si>
  <si>
    <t xml:space="preserve">Rep. Independiente Vallekas </t>
  </si>
  <si>
    <t>Quieres identificarme? Tienes un problema... Nací sin carnet VALLEKAS NUESTRO</t>
  </si>
  <si>
    <t>Bender El Que Ofende</t>
  </si>
  <si>
    <t>Según el CIS, a Albert Rivera y Pablo Casado no les pasaría factura pactar con VOX porque, al fin y al cabo, todos vienen del mismo sitio.</t>
  </si>
  <si>
    <t>Heber Rizzo</t>
  </si>
  <si>
    <t>Astuto movimiento de los podemitas. Sabiendo perfectamente que @CiudadanosCs es "progresista", es decir, que cojea por su pierna izquierda, intenta revertir la expresión ciudadana en las urnas manejando la ambición torpe de @Albert_Rivera RT @ivanedlm: Esto mejora por momentos! Ciutadans podría gobernar en Andalucía apoyado en Podemos. La cara de algunos votantes de Cs ahora mismo debe ser para verla... “Podemos no descarta permitir que Cs gobierne Andalucía para cerrar el paso a Vox”  via @elespanolcom</t>
  </si>
  <si>
    <t>Besa mi brillante culo metálico!</t>
  </si>
  <si>
    <t>Zaragoza, Aragón</t>
  </si>
  <si>
    <t>Ateo, humanista y liberal (libertarian). Aficionado a la ciencia. Y por si fuera poco, mi ignorancia llena bibliotecas... et in Shangrila ego ¡Desperta, ferro!</t>
  </si>
  <si>
    <t>http://elatrildelorador.blogspot.com</t>
  </si>
  <si>
    <t>Problemas para @Albert_Rivera: "Estoy seguro de las convicciones de @CiudadanosCs. No puede haber un pacto con @vox_es", dice rotundo Manuel Valls. "No puede haber ningún compromiso con la extrema derecha", sentencia. "Lo sensato es acuerdo entre los partidos constitucionalistas"</t>
  </si>
  <si>
    <t>#Ciudadanos #YouTube Nuevo vídeo de CiudadanosCs // Albert Rivera. Rueda de prensa tras reunión Ejecutiva Nacional. 05Dic.</t>
  </si>
  <si>
    <t>https://www.youtube.com/watch?v=wFA6tZ4silk</t>
  </si>
  <si>
    <t>Ciudadano asertivo</t>
  </si>
  <si>
    <t>Muy coherente. Enseña el camino, si quieres cambiar o acabar con algo tienes que estar dentro. Por cierto @pablocasado_ @Albert_Rivera el Estado de las Autonomías viene recogido en la Construcción...por lo de líneas rojas y pactos con @vox_es</t>
  </si>
  <si>
    <t>https://pbs.twimg.com/media/Dto4VFsXQAA3Pfy.jpg</t>
  </si>
  <si>
    <t>En16nueve</t>
  </si>
  <si>
    <t>Albert Rivera publica su nueva novela: Como lidiar con la Disonancia Cognitiva de autollamarte progre y pactar con Vox | Recomendaciones literarias del curso político 2018-19 #TiempoPactosARV</t>
  </si>
  <si>
    <t>No diga sí, cuando quiera decir no.</t>
  </si>
  <si>
    <t>http://CiudadanoAsertivo.tumblr.com</t>
  </si>
  <si>
    <t>Millennial orgulloso. Comento la TV, la radio y otras cosas por aquí.</t>
  </si>
  <si>
    <t>http://blogs.formulatv.com/elojoen169/</t>
  </si>
  <si>
    <t>JoséCarlosVillanueva</t>
  </si>
  <si>
    <t>OJO.- Mensaje muy claro en @HoyPorHoy de @manuelvalls a @Albert_Rivera y a @CiudadanosCs: “No puede haber ningún pacto con @vox_es, ningún compromiso con la ultraderecha”.</t>
  </si>
  <si>
    <t>Marbella-Madrid-Caracas</t>
  </si>
  <si>
    <t>Periodista de investigación. Investigative journalist. Dirijo http://www.marbellaconfidencial.es. Antes en @elmundoes (1996-2013). Miembro de @P_Investigacion.</t>
  </si>
  <si>
    <t>http://www.marbellaconfidencial.es</t>
  </si>
  <si>
    <t>🏳️‍🌈Rubén López🏳️‍🌈</t>
  </si>
  <si>
    <t>Espero que @Albert_Rivera esté escuchando a @ManuelValls en la SER ahora mismo</t>
  </si>
  <si>
    <t>Talavera- Madrid- Almería</t>
  </si>
  <si>
    <t>Socialdemócrata,gay,feminista,culé y talaverano. Ing.Teleco trabajo de volcanólogo.Lic.Derecho.Ejecutiva @Arcopoli,Director @ObsmadLGTB e Internacional @FELGTB</t>
  </si>
  <si>
    <t>Jon Ariztimuño</t>
  </si>
  <si>
    <t>Enhorabuena a todo el equipo! Y gracias a @sanchezcastejon @pablocasado_ @Pablo_Iglesias_ @Albert_Rivera por participar en #40AñosDeLibertad y reforzar así la televisión pública madrileña RT @sfernandezh: El especial de la Constitución de @telemadrid anotó anoche un grandísimo 5,1!!!! Muchísimas gracias todos!! #TelevisionDeCalidad #ServicioPublico</t>
  </si>
  <si>
    <t>https://twitter.com/sfernandezh/status/1070223453566001152</t>
  </si>
  <si>
    <t>#información #TV #RRSS Ahora dirigiendo los @informativosTM de @telemadrid @ondamadrid y telemadrid.es</t>
  </si>
  <si>
    <t>http://es.linkedin.com/in/jonariz/</t>
  </si>
  <si>
    <t>sagrario sánchez ♀</t>
  </si>
  <si>
    <t>Este elemento es el que están dispuestos que ocupe un cargo público los "muy demócratas" @pablocasado_ y @Albert_Rivera RT @FSerranoCastro: Desde luego lo que no hay son mujeres liberales que se proclamen putas, brujas y bolleras.Eso está reservado para piojosas d ultraizquierda</t>
  </si>
  <si>
    <t>https://twitter.com/FSerranoCastro/status/729684736965267456</t>
  </si>
  <si>
    <t>El Sebi</t>
  </si>
  <si>
    <t>Y si no le dan la presidencia a Marín, pactará con el PSOE, lo veo venir..... Andalucía: Albert Rivera dispuesto al pacto con el PP y sin descartar a VOX pero con Marín de presidente</t>
  </si>
  <si>
    <t>La dignidad es lo que aún nos queda cuando ya no nos queda nada. (Benjamín Prado)</t>
  </si>
  <si>
    <t>https://okdiario.com/espana/andalucia/2018/12/05/rivera-dispuesto-pacto-pp-sin-descartar-vox-pero-marin-presidente-3430883#.XAfwwcFWrLI.twitter</t>
  </si>
  <si>
    <t>No te importa</t>
  </si>
  <si>
    <t>Mi locura es permanente, no tiene cura. Si te molesta lo que escribo apelo a mi libertad de expresión.</t>
  </si>
  <si>
    <t>Aitor Tilla</t>
  </si>
  <si>
    <t>Deja de decir “totalitarios separstistas”, fascista cocainomano! 🤣🤣🤣🤣🤣🤣 @Albert_Rivera RT @Albert_Rivera: Los totalitarios separatistas vuelven a acosar e insultar a @manuelvalls en Barcelona. Tienes todo mi apoyo, Manuel, seguiremos defendiendo la libertad, la unión y la democracia por toda Cataluña y por toda España. #NoNosCallarán</t>
  </si>
  <si>
    <t>https://twitter.com/albert_rivera/status/1069921507084779520</t>
  </si>
  <si>
    <t>pic.twitter.com/BWKv7228Np</t>
  </si>
  <si>
    <t>Martina</t>
  </si>
  <si>
    <t>Albert Rivera. Te estás planteando pactar con podemos sólo para que ciudadanos obtenga la presidencia de Andalucía?</t>
  </si>
  <si>
    <t>Burdeos, Francia</t>
  </si>
  <si>
    <t>Doctor en Enginyeria Mecanica, especialitzat en Energia solar i Emmagatzematge d'Energia Termica</t>
  </si>
  <si>
    <t>pic.twitter.com/XvvKbdu0Ur</t>
  </si>
  <si>
    <t>PSOE de Almería</t>
  </si>
  <si>
    <t>.@susanadiaz en @rne: "@Albert_Rivera tiene que elegir qué hará su partido, si quiere frenar la ultraderecha como han hecho #Macron y #Merkel o quiere ser #Salvini"</t>
  </si>
  <si>
    <t>https://pbs.twimg.com/media/Dto1O1LX4AAkzHo.jpg
https://pbs.twimg.com/media/Dto0hBPW4AASmgh.jpg</t>
  </si>
  <si>
    <t>Me gusta lo difícil, me atrae lo complicado y me enamoro de lo imposible...</t>
  </si>
  <si>
    <t>Bienvenid@ al twitter oficial de la Agrupación Provincial de Almería ¿Conversamos?</t>
  </si>
  <si>
    <t>http://www.psoealmeria.com</t>
  </si>
  <si>
    <t>Juan Antonio Molina</t>
  </si>
  <si>
    <t>https://pbs.twimg.com/media/Dto0hBPW4AASmgh.jpg</t>
  </si>
  <si>
    <t>Diplomado en Gestión y Administración Pública. Máster en RRHH. Socialdemócrata. #Almería</t>
  </si>
  <si>
    <t>.@CiudadanosCs negociará con el PP un Gobierno de "cambio" en Andalucía pero con Juan Marín de presidente, y para lograrlo pide al PSOE que se abstenga. A @manuelvalls, que rechaza pactos con @vox_es, Albert Rivera le dice que no se puede descartar nada</t>
  </si>
  <si>
    <t>https://www.europapress.es/nacional/noticia-rivera-anuncia-dara-prioridad-negociar-gobierno-cambio-pp-marin-presidente-20181205133255.html</t>
  </si>
  <si>
    <t>Lolesc</t>
  </si>
  <si>
    <t>Le Monde advierte a"Ciudadanos" y carga contra Casado por normalizar el discurso de la extrema derecha. Señores @pablocasado_ y @Albert_Rivera el fascismo de VOX es contrario a los valores Europeos y tendrán que explicar sus alianzas con los fascistas.</t>
  </si>
  <si>
    <t>https://m.eldiario.es/rastreador/Monde-advierte-Ciudadanos-Casado-normalizar-extrema-derecha_6_842775750.html</t>
  </si>
  <si>
    <t>https://pbs.twimg.com/media/Dto0fVxXQAAY-uh.jpg</t>
  </si>
  <si>
    <t>La clase trabajadora no tiene trabajo, la clase media no tiene medios y la clase alta no tiene clase y a mi se me acabó la diplomacia y la paciencia.</t>
  </si>
  <si>
    <t>Es La Mañana de FJL</t>
  </si>
  <si>
    <t>¿Qué quiere @Albert_Rivera? Pregunta que lanza @eslamananadeFJL a nuestros contertulios; @cayetanaAT, @encasadeherrero y @pacomarhuenda.</t>
  </si>
  <si>
    <t>Juan Esplandiú, 13, Madrid</t>
  </si>
  <si>
    <t>Twitter OFICIAL del programa Es La Mañana de Federico, en esRadio. De Lunes a Viernes, entre las 6:00 y las 12:00. En Madrid en el 99.1 eslamanana@esradio.fm</t>
  </si>
  <si>
    <t>http://www.esradio.fm/es-la-manana-de-federico/</t>
  </si>
  <si>
    <t>Gonzalo Arias</t>
  </si>
  <si>
    <t>Albert Rivera y demás. Como os empecinéis con lo de Marín acabamos en otras elecciones.Que Lo sepáis.Y ese día, olvidaos para siempre de que NADIE EN ESPAÑA vuelva a confiar en vosotros.</t>
  </si>
  <si>
    <t>Samburitz</t>
  </si>
  <si>
    <t>Sr. @Albert_Rivera y @CiudadanosCs @Cs_Andalucia Ustedes son opción para mi #voto en las generales. Pero como sea cierto ésto... se van a ir a la #mierda. ¿Pactar con @PSOE y @ahorapodemos? ¿Se ha vuelto loco? ¿No se crezca qué son los 3° en #Andalucia?</t>
  </si>
  <si>
    <t>Markes.Castellano.Apto para sustos cardiacos, pero sin saber del miedo.Buen Estratega, y conocedor de protocolos.Trabajo para una España unida y feliz.</t>
  </si>
  <si>
    <t>https://m.diariodesevilla.es/andalucia/elecciones_andalucia/ciudadanos-psoe-adelante-andalucia-pacto_0_1306069689.html</t>
  </si>
  <si>
    <t>Padre orgulloso. Viajero empedernido, amante de la buena comida y buen vino. Inquieto. Colmenar Viejo.</t>
  </si>
  <si>
    <t>Franio 🇮🇱</t>
  </si>
  <si>
    <t>Dedazos para cargos públicos de última hora y destrucción de documentos en la Junta, esa será la tónica hasta que @CiudadanosCs @Albert_Rivera @JuanMarin_Cs @InesArrimadas despejen la incógnita de si cambiar las cosas o seguir como estamos, por miedo.</t>
  </si>
  <si>
    <t>SVQ</t>
  </si>
  <si>
    <t>Demócrata, liberal y europeísta, #NoPodéis. Me encantan las tartas de chocolate y galletas. Ex republicano. Numismático y ex eurofan. Tel Aviv 2019 ¡Allá vamos!</t>
  </si>
  <si>
    <t>http://www.bimetallic-coins.com</t>
  </si>
  <si>
    <t>Casado explora un gobierno monocolor en Andalucía con apoyos de Cs y Vox  vía @voz_populi Sensato. @pablocasado_ @TeoGarciaEgea @Albert_Rivera @CiudadanoVille</t>
  </si>
  <si>
    <t>https://www.vozpopuli.com/_4756f6bc</t>
  </si>
  <si>
    <t>Anastasia Romanov ♕</t>
  </si>
  <si>
    <t>El orgullo ciega a los enamorados como la coca a Albert Rivera.</t>
  </si>
  <si>
    <t>Gran Duquesa-Princesa de todas las Rusias. Soy asesina como huracán Katrina y Súper Loca como la polla en tu boca.</t>
  </si>
  <si>
    <t>http://ask.fm/GranDuquesa/answer/17215574147</t>
  </si>
  <si>
    <t>Caro</t>
  </si>
  <si>
    <t>Hola @GirautaOficial @rosadiezglez @Albert_Rivera @pablocasado_ !! Nos echáis una mano??? RT @Addaioth_: No podeis tirar el esfuerzo de miles de personas a la basura. Solo pedimos competir en igualdad. #OposicionesTongoJusticia #AdministraciónDeInjusticia #RespetenDerechosOpositores</t>
  </si>
  <si>
    <t>https://twitter.com/addaioth_/status/1069699181793697793?s=21</t>
  </si>
  <si>
    <t>https://pbs.twimg.com/media/DthVgquWoAEAsAd.jpg</t>
  </si>
  <si>
    <t>El simple aleteo de una mariposa puede cambiar el mundo.</t>
  </si>
  <si>
    <t>Dídac</t>
  </si>
  <si>
    <t>Hola, @Albert_Rivera, ¿ llevarás a tus colegas fascistas al #Orgullo2019? Este año preveo aplausos y vítores celestiales. ¡Con lo que te gusta a ti el Orgullo!</t>
  </si>
  <si>
    <t>Un poco de todo</t>
  </si>
  <si>
    <t>Soy Un Engendro</t>
  </si>
  <si>
    <t>Sr. @Albert_Rivera ¿cuanto va tardar en condenar la agresión de 15encapuchados, en Vitoria, a una persona por defender la unidad de #España 🇪🇸? Porque si no lo condena le voy acusar de #Fascista junto a todos los que no lo hagan Léalo para enterarse</t>
  </si>
  <si>
    <t>https://www.elmundo.es/pais-vasco/2018/12/05/5c06ee5f21efa089208b4777.html</t>
  </si>
  <si>
    <t>Engendro: “Criatura deforme o de gran falsedad; Obra mal concebida o mal hecha” Cuenta creada para denunciar los “engendros” de la vida. #Democracia #Libertad</t>
  </si>
  <si>
    <t>Kafarnaun</t>
  </si>
  <si>
    <t>Segun la tesis de Rivera @Albert_Rivera los ciudadanos de Austria, Hungria, Rusia, Italia y EEUU son una especie de canallas y apestados. Cordon sanitario. Tonto pasiempre.</t>
  </si>
  <si>
    <t>carmen  💦🐟 💦    🇪🇸</t>
  </si>
  <si>
    <t>Política . La estupidez y el Universo es lo unico que es infinito. Como casi la gran mayoria de ciudadanos del Mundo, yo tambien tengo alergia a Podemos.</t>
  </si>
  <si>
    <t>Cuidado @CiudadanosCs con vuestra pretensión en Andalucía. Podéis pagarlo muy caro. @Albert_Rivera @JuanMa_Moreno @PPopular @Alternativa_VOX</t>
  </si>
  <si>
    <t>NUET</t>
  </si>
  <si>
    <t>Rivera ve irresponsable “descartar” escenarios de pacto, incluido con Vox</t>
  </si>
  <si>
    <t>Pedro Alberni Teixidor</t>
  </si>
  <si>
    <t>El averno era esto. Con estos van a pactar @PPopular y @Albert_Rivera RT @eldiarioes: El antiguo líder del Ku Klux Klan felicita a Vox: "La Reconquista empieza en Andalucía"</t>
  </si>
  <si>
    <t>Montcada i Reixac</t>
  </si>
  <si>
    <t>Home d'esquerres. A Catalunya cal una Revolució Democràtica</t>
  </si>
  <si>
    <t>http://nuet.cat</t>
  </si>
  <si>
    <t>https://twitter.com/eldiarioes/status/1069909428827291648
https://www.eldiario.es/rastreador/Klux-Klan-Vox-Reconquista-Andalucia_6_842775724.html</t>
  </si>
  <si>
    <t>https://pbs.twimg.com/media/DtkUhvOX4AA7vFj.jpg</t>
  </si>
  <si>
    <t>RR NEWS</t>
  </si>
  <si>
    <t>El @scrats_regantes solicita una reunión urgente a Sánchez Castejón, Pablo Casado, Albert Rivera, Pablo Iglesias y Santiago Abascal para hablar del futuro del trasvase Tajo-Segura.</t>
  </si>
  <si>
    <t>Monterrey, Nuevo León</t>
  </si>
  <si>
    <t>Tortosa, 30/1/1747- Monterrey,11/3/1802 1ª Compañía Franca de Voluntarios de Cataluña 9th Governor CA Explorator at Nootka Island Vancouver, British Columbia</t>
  </si>
  <si>
    <t>https://en.wikipedia.org/wiki/Pere_d%27Albern%C3%AD_i_Teixidor</t>
  </si>
  <si>
    <t>#FelizMiercoles @Albert_Rivera @CiudadanosCs vais a liarla en #Andalucía y vais a pagarlo en clave nacional, aceptad el mandato de las urnas. Por cierto Vox no es fascismo, cuidado por ese camino.</t>
  </si>
  <si>
    <t>Murcia-Spain</t>
  </si>
  <si>
    <t>Periodista. Cuenta personal. Art. 20 Constitución huevoleaks@gmail.com</t>
  </si>
  <si>
    <t>20minutos.es</t>
  </si>
  <si>
    <t>. @20m publica hoy miércoles en la edición impresa un especial sobre los 40 años de la Constitución Española 👉  y también en la web 👉  con artículos de @sanchezcastejon, @pablocasado_, @Albert_Rivera y @encarnasamitier</t>
  </si>
  <si>
    <t>http://ver.20m.es/olm9a1
http://ver.20m.es/pqot7</t>
  </si>
  <si>
    <t>https://pbs.twimg.com/media/DtotzRfWwAAN266.jpg</t>
  </si>
  <si>
    <t>Sister 1492 🇪🇸 ن ➕</t>
  </si>
  <si>
    <t>No te enteras de nada. Vais a co-gobernar Andalucía gracias a esa “extrema derecha”. Quizás, si dejas de decir tonterías, C’s sobrevive a tu candidatura, pero como sigas así veo a Albert Rivera en el grupo mixto. RT @manuelvalls: La extrema derecha ha emergido en España. Ahora más que nunca es el momento de la responsabilidad y de recuperar el centro político. Pactos inteligentes, moderados y con sentido común, por el futuro de #España y de #Europa.</t>
  </si>
  <si>
    <t>Cuenta oficial de 20minutos, el medio social y ciudadano. Información, análisis y contacto personal con los lectores las 24 horas del día http://facebook.com/20minutos.es</t>
  </si>
  <si>
    <t>https://www.20minutos.es/</t>
  </si>
  <si>
    <t>https://twitter.com/manuelvalls/status/1069646817783099392
https://www.lavanguardia.com/politica/20181203/453315811270/valls-pide-moderacion-y-pactos-inteligentes-tras-la-irrupcion-de-vox.html</t>
  </si>
  <si>
    <t>Alcázar de Toledo</t>
  </si>
  <si>
    <t>Gloria a la Patria que supo seguir sobre el azul del mar el caminar del sol.</t>
  </si>
  <si>
    <t>Seco y Rancio</t>
  </si>
  <si>
    <t>Ver al 1er Ministro Irlandés dar explicaciones x q le acusan de haber sido invitado a una cena en un concierto y llorar de la emoción; algo no veré hacer a @sanchezcastejon ni @Albert_Rivera ni @pablocasado ni.... A la política española le quedan eones para estar a este nivel</t>
  </si>
  <si>
    <t>No hace mucho, los medios de siempre, le hicieron la cama Albert Rivera Ganarás las elecciones! Eres el mejor! Machaca a Rajoy! Etc Y se quedó colgado de la brocha Ahora No al apoyo al fascismo No a VOX Como si les preocuparan algo el hundimiento de C's Vaya tropa</t>
  </si>
  <si>
    <t>https://pbs.twimg.com/media/DtomkYaWsAAYFwC.jpg</t>
  </si>
  <si>
    <t>Dende'l corazón d'Asturies: L'Entregu 😆</t>
  </si>
  <si>
    <t>AsociacionMSPE_ComunidadValenciana</t>
  </si>
  <si>
    <t>Familia "natural"? Vox: grupo político con propuestas anticonstitucionales, en contra de los derechos de las personas y los menores. Somos familias. Y tenemos los mismos derechos. #FamiliasMonoparentales @sanchezcastejon @Pablo_Iglesias_ @Albert_Rivera @agarzon @pablocasado_ RT @MSPE_Catalunya: Desde @MSPE_Catalunya queremos manifestar nuestra preocupación y estupor ante las propuestas discriminatorias de Vox respecto a los modelos plurales de familia. Una sociedad de familias diversas es una sociedad libre.</t>
  </si>
  <si>
    <t>https://twitter.com/MSPE_Catalunya/status/1069707373068066822</t>
  </si>
  <si>
    <t>https://pbs.twimg.com/media/DthbZe3WsAEB-gs.jpg</t>
  </si>
  <si>
    <t>Asociación de mujeres que hemos optado libremente por formar una #FamiliaMonoparental. Trabajamos en Red reivindicando nuestro modelo de familia 👩‍👧‍👦👩‍👧👩‍👧‍👧</t>
  </si>
  <si>
    <t>http://www.madressolterasporeleccion.org</t>
  </si>
  <si>
    <t>candelberry</t>
  </si>
  <si>
    <t>Andalucía no sé si será la tumba del fascismo, pero sí va a ser la de @CiudadanosCs como siga flirteando con los socialistas.../ @Albert_Rivera ! Estas asando la manteca!!</t>
  </si>
  <si>
    <t>Asocialista, que no asocial</t>
  </si>
  <si>
    <t>Siendo Realista</t>
  </si>
  <si>
    <t>Ayer le pegaron una paliza a un estudiantes de la UPV/EHU por defender su opinión y expresarse libremente. ¿Quién va a salir a defender su libertad de expresión @Pablo_Iglesias_ @Albert_Rivera @Santi_ABASCAL @sanchezcastejon @pablocasado_ ?</t>
  </si>
  <si>
    <t>Vivimos en un país en el que el doble rasero es constante, y en el que se juzga a las personas sin pararse a escuchar lo que dicen. Que sea más difícil.</t>
  </si>
  <si>
    <t>Inma Ureña ن</t>
  </si>
  <si>
    <t>¿Cómo se habrá despertado hoy @Albert_Rivera? ¿Qué rumbo tomará? ¿Dirigirá sus pasos a babor o estribor? ¿Pensión completa o medio pensionista?</t>
  </si>
  <si>
    <t>https://pbs.twimg.com/media/DtopDO4WwAM7zyF.jpg</t>
  </si>
  <si>
    <t>🖊La Constitución puso la semilla de lo que hoy es nuestra nación: una de las democracias más avanzadas del mundo. Hay que defenderla y aplicarla, pero también actualizarla para relanzar nuestro proyecto nacional. Mi artículo en @20m. #40AñosDeConstitución</t>
  </si>
  <si>
    <t xml:space="preserve">Aquí, peregrinando </t>
  </si>
  <si>
    <t>En construcción. Perdonen las molestias.</t>
  </si>
  <si>
    <t>Buenos días ☀️! Esta tarde celebramos los 40 años de constitucionalismo en un acto con @InesArrimadas @Albert_Rivera y @manuelvalls en el Auditorio del Conservatorio Liceu de Barcelona, nos vemos allí! 🕖 19h #Constitución #NoNosCallarán</t>
  </si>
  <si>
    <t>https://pbs.twimg.com/media/DtoniSWWwAAioZX.jpg</t>
  </si>
  <si>
    <t>D' Artagnan 🇪🇸 🇫🇷</t>
  </si>
  <si>
    <t>María José Menchón</t>
  </si>
  <si>
    <t>Tomen buena nota @Albert_Rivera @CiudadanosCs En Europa los partidos de centro derecha no sólo no pactan con partidos de ultra derecha sino que los aíslan. Como lo explicarían a sus socios europeos? No todo vale para obtener el poder.  vía @elmundoes</t>
  </si>
  <si>
    <t>https://www.elmundo.es/espana/2018/12/05/5c06f3c6fc6c83392b8b4633.html</t>
  </si>
  <si>
    <t>Secretaria Ejecutiva de Vivienda y Urbanismo PSOE MADRID CENTRO</t>
  </si>
  <si>
    <t>Oviedo, Asturias, España 🇪🇸</t>
  </si>
  <si>
    <t>Asturiano🇸🇪 Español🇪🇸, mucho de Francés🇫🇷, Defiendo a FelipeVI👑 Uno para todos y todos para Uno. @CiudadanosCs 🍊 Alonso 🏎 Real Oviedo⚽️NO TROLLS</t>
  </si>
  <si>
    <t>𝚊𝚕𝚒𝚚𝚞𝚒𝚗𝚍𝚘𝚒</t>
  </si>
  <si>
    <t>Hola @CiudadanosCs, hola @Albert_Rivera aquí una muestra de lo que realmente piensa el PSOE de vosotros. No lo que dicen ahora. Y Amparo Rubiales representa la esencia de todo contra lo que se votó el domingo. RT @AmparoRubiales: Rivera discrepa de Ana Pastor por pedir que se retire tanto “fascismo” como “golpismo” - Ay, Rivera, que solo sabes intentar las elecciones con el problema catalán!!!! Que desastre eres y no lo parecías!!!!</t>
  </si>
  <si>
    <t>https://twitter.com/amparorubiales/status/1065676387321896960
https://elpais.com/politica/2018/11/22/actualidad/1542883703_719013.html</t>
  </si>
  <si>
    <t>Madrid - Málaga</t>
  </si>
  <si>
    <t>Estamos al tanto de lo que pasa. Aliquindoi.</t>
  </si>
  <si>
    <t>Es decir, @Juanma_Moreno y @JuanMarin_Cs no pintan nada en la configuración del futuro gobierno en #Madrid. Lo van a decidir @PabloCasado_ @Albert_Rivera y @Santi_Abascal. El espectáculo que están ofreciendo es lamentable. RT @CurroTroya: .@PabloCasado_ no descarta ofrecer consejerías a @Vox_ES y @CiudadanosCs en #Andalucía: El líder del PP insiste en que "lo único innegociable" es que sea su candidato quien presida la Junta</t>
  </si>
  <si>
    <t>https://twitter.com/CurroTroya/status/1070207391680159744
https://elpais.com/politica/2018/12/04/actualidad/1543928771_340736.html</t>
  </si>
  <si>
    <t>Francisco Cuaresma Poleo 🇪🇸</t>
  </si>
  <si>
    <t>Dice Albert Rivera que Ciudadanos quiere tener experiencias en liderar gobiernos. ¡Pues ganad elecciones, chato!</t>
  </si>
  <si>
    <t>Estudiante de Derecho en @UC3M. Amante de la política, la naturaleza y la historia. Liberal-Conservador. Entre Huelva​ y Madrid.</t>
  </si>
  <si>
    <t>http://instagram.com/fco_cp/</t>
  </si>
  <si>
    <t>Español74 🇪🇸🏧</t>
  </si>
  <si>
    <t>#NoSoyQuienParaJuzgarPero @Albert_Rivera q hace no presentando un candidato propio en la alcaldía de Barcelona? @manuelvalls es un error de base señor. No se entera de nada</t>
  </si>
  <si>
    <t>Padre orgulloso, marido enamorado, currante, español y del atleti. Nadie es perfecto, “FACHA” y de “extrema derecha” 😂😂</t>
  </si>
  <si>
    <t>#NoSoyQuienParaJuzgarPero @Albert_Rivera o te centras rápido en apoyar un gobierno con PP y Vox o desapareces más rápido q UPyD Espabile pronto</t>
  </si>
  <si>
    <t>Pello Mazas</t>
  </si>
  <si>
    <t>Si tu novio: -Presentó a un candidato de tercera a las #EleccionesAndalucía -Lo quiere hacer presidente, siendo el TERCERO -No le importa chalanear con el PSOE. -Cambia de idea como una veleta Entonces no es tu novio. Es @Albert_Rivera</t>
  </si>
  <si>
    <t>Salva Escudero 🇪🇸</t>
  </si>
  <si>
    <t>Madre mía... Andalucía: Albert Rivera dispuesto al pacto con el PP y sin descartar a VOX pero con Marín de presidente</t>
  </si>
  <si>
    <t>https://okdiario.com/espana/andalucia/2018/12/05/rivera-dispuesto-pacto-pp-sin-descartar-vox-pero-marin-presidente-3430883#.XAfpa0Aa-5Y.twitter</t>
  </si>
  <si>
    <t>ana macias</t>
  </si>
  <si>
    <t>Toda los que se ponen en lazo morado y ahora igual pactan con gentuza que niegan la violencia de género y quiere acabar con las pocas medidas que hay contra ella.....ole con ole.....@Albert_Rivera y @pablocasado_ la próxima vez os ponéis el lazo en el ojete....</t>
  </si>
  <si>
    <t>El Morche y Torre d Benagalbón</t>
  </si>
  <si>
    <t>Secretario Gabinete Alcaldía @Ayto_Torrox. Gestor Comunicación, Redes e Imagen @pptorrox. Emprendedor y apasionado de la fotografía. #liberal Perfil Personal</t>
  </si>
  <si>
    <t>https://instagram.com/salva_escudero/</t>
  </si>
  <si>
    <t>Naci  en el mediterraneo</t>
  </si>
  <si>
    <t>amante de los animales,por las mañanas corro 👀buajhhhh yo ya no puedo más ✌️ah! y #mecagoendios</t>
  </si>
  <si>
    <t>Joan Busquet 🎗️</t>
  </si>
  <si>
    <t>Los de @vox_es y @CiudadanosCs se entienden desde hace tiempo!! O no @Albert_Rivera ???🤟🏼</t>
  </si>
  <si>
    <t>pic.twitter.com/Nh06aDRDks</t>
  </si>
  <si>
    <t>Olot</t>
  </si>
  <si>
    <t>Politòleg / UdG -- Màster en Anàlisi Polític i Assessoria Institucional / UB Català independentista i culè!</t>
  </si>
  <si>
    <t>priaranzita</t>
  </si>
  <si>
    <t>Eres un crack @Albert_Rivera !! RT @CapitanApio: ¯\_(ツ)_/¯</t>
  </si>
  <si>
    <t>https://twitter.com/CapitanApio/status/1070072617556680705</t>
  </si>
  <si>
    <t>Padre, preocupado por el futuro que le vamos a dejar a nuestros hijos, futuro que ahora está comprometido y por el que hay que luchar, pero hay que hacerlo YA!</t>
  </si>
  <si>
    <t>VOX: -derogación ley violencia de género -expulsar a inmigrantes -ilegalizar el aborto -muro en Ceuta y Melilla -ilegalizar los matrimonios homosexuales .. @InesArrimadas Y @Albert_Rivera vais a pactar con ellos?.Ok,es para un amigo,que el imbécil aún sostiene que sois de centro</t>
  </si>
  <si>
    <t>Hablas de Sánchez pero tú eres capaz de pactar con quien sea con tal de llegar al sillón. Mientes a tus seguidores en campaña y luego haces guiño para pactos a quien as señalado que nunca pactarías estando en campaña @Albert_Rivera</t>
  </si>
  <si>
    <t>Ciudadanos priorizará la negociación con el PP e insiste en reclamar a los socialistas su abstención, algo que Susana Díaz ha rechazado</t>
  </si>
  <si>
    <t>https://www.lavanguardia.com/politica/20181205/453377887754/ciudadanos-albert-rivera-prioriza-pacto-pp-andalucia-irresponsable-descartar-vox-santiago-abascal.html?utm_source=twitter_lv&amp;utm_medium=social</t>
  </si>
  <si>
    <t>Hoy miércoles se publica con la edición impresa de @20m el especial 'La Constitución de la libertad', sobre los 40 años de la Carta Magna. Con artículos de Pedro @SanchezCastejon , @pablocasado_ , @Albert_Rivera , Íñigo @ierrejon y más firmas.</t>
  </si>
  <si>
    <t>http://ver.20m.es/0cknh6</t>
  </si>
  <si>
    <t>Andy Pipkim</t>
  </si>
  <si>
    <t>https://pbs.twimg.com/media/DtoNEg7WwAEaHpO.jpg</t>
  </si>
  <si>
    <t>Aeropuerto Albert Rivera - Sofía Mazagatos #propuesta RT @elpais_america: Una campaña en contra de la figura del filósofo Immanuel Kant logra evitar que el aeropuerto de Kaliningrado se rebautice con su nombre</t>
  </si>
  <si>
    <t>https://twitter.com/elpais_america/status/1070154558725414912
http://ow.ly/Pqbr30mRF7z</t>
  </si>
  <si>
    <t>Repunando.</t>
  </si>
  <si>
    <t>http://ramblalibre.com/2018/12/05/pedro-j-ramirez-obsesionado-contra-vox-impone-sus-criterios-a-albert-rivera/#.XAfn1uOlvk8.twitter</t>
  </si>
  <si>
    <t>Sr. Asecas</t>
  </si>
  <si>
    <t>¿Ves @Albert_Rivera , como haber pactado con el psoe, te está pasando factura? La gente no se fía de ti. Decide si eres derecha, o izquierda, para que mucha gente pueda decidir el voto. El mío ya está claro, yo votaré #Vox . RT @abogadodesecano: @gabylopez83 @PSOE @pablocasado_ @Albert_Rivera @Santi_ABASCAL Llámame desconfiado, pero si tuvieras que pactar ¿de cual dudarias tú?</t>
  </si>
  <si>
    <t>https://twitter.com/abogadodesecano/status/1070071607576723456</t>
  </si>
  <si>
    <t>jmlluis</t>
  </si>
  <si>
    <t>Albert Rivera no se ha leído la constitución Alemana, en sus 4 primeros artículos no se nombra ni el color de la bandera, ni el idioma oficial, ni por supuesto la forma del estado sino que se define el marco de protección del individuo y sus libertades, y si Alemania es divisible RT @CiudadanosCs: 🏛 @Albert_Rivera "Tenemos una de las mejores constituciones del mundo Señorías, pero hay que mejorarla y reforzarla" #SesiónDeControl</t>
  </si>
  <si>
    <t>ATLÉTICO DE MADRID🏟 #atleti Una hostia a tiempo hace milagros🇪🇸🇪🇸🇪🇸. #unahistoriadiferente</t>
  </si>
  <si>
    <t>https://twitter.com/CiudadanosCs/status/907867668069404672</t>
  </si>
  <si>
    <t>https://pbs.twimg.com/media/DJlk0XBW0AAb6ot.jpg</t>
  </si>
  <si>
    <t>on my way</t>
  </si>
  <si>
    <t>Antonio Garrido</t>
  </si>
  <si>
    <t>Señor @Albert_Rivera, Andalucía ha expresado en las urnas su más férrea voluntad de cambio, no quieren seguir bajo el yugo de la izquierda. Si apoyáis al SOE en lugar de al @PPopular, vuestros votantes jamás os lo perdonarán y los perderéis.</t>
  </si>
  <si>
    <t>Almagro (Ciudad Real)</t>
  </si>
  <si>
    <t>Joven idealista vocacional, amante de la Filosofía y de la Historia. Hombre de principios y valores que admira a todos los que siempre son fieles a sí mismos.</t>
  </si>
  <si>
    <t>Albert Rivera, presidente de Ciudadanos: "La prioridad es negociar con el PP, con Marín en la presidencia" | Más info ℹ️ y vídeo completo ▶️</t>
  </si>
  <si>
    <t>http://csur.red/rlHQ50jRRCw</t>
  </si>
  <si>
    <t>https://pbs.twimg.com/media/DtqUfvyW4AAxbKL.jpg</t>
  </si>
  <si>
    <t>F(Supravulcano) πφ🔻🇵🇸</t>
  </si>
  <si>
    <t>¿No creéis que @Alberto_Casado debe ser el hijo bastardo al que renunciaron @pablocasado_ y @Albert_Rivera por rojo de mierda?</t>
  </si>
  <si>
    <t>Madrid/Murcia (Origen Vulcano)</t>
  </si>
  <si>
    <t>TEA-TOC. INTJ-T. Vegan. sXe. El Comunismo es la auténtica democracia. La Física es teórica pero la diversión real. ¿Buscas la fama? Yo la eternidad como Aquiles</t>
  </si>
  <si>
    <t>https://twitter.com/AstroVulcanTeor/status/969563933085495301?ref_src=twcamp%5Ecopy%7Ctwsrc%5Eandroi</t>
  </si>
  <si>
    <t>Hola soy @Albert_Rivera y quiero gobernar Andalucía con 21 escaños, de un total de 109. Me vengo arriba de a ratos.</t>
  </si>
  <si>
    <t>Cs Montoro</t>
  </si>
  <si>
    <t>📡 Albert Rivera ha atendido a los medios de comunicación tras la reunión del Comité Ejecutivo. 👉 Vamos a abrir negociaciones con el PP con unas exigencias claras: un gobierno de cambio con un partido limpio y con capacidad de diálogo y liderado por una opción que crece en votos</t>
  </si>
  <si>
    <t>Montoro, España</t>
  </si>
  <si>
    <t>Perfil oficial de @CiudadanosCs en #Montoro 🍊📲 También estamos en Facebook</t>
  </si>
  <si>
    <t>Ni 1 solo twet @Albert_Rivera y @JuanMarin_Cs (Comprueben) de lo que esta pasando en #Andalucia. ¿Donde viven Sres? además de #Cataluña cosa muy loable, ante el marxismo agita convulsivo de las calles, y los amigos camorra Iglesias de Torra? ¿Pacto Lunar?</t>
  </si>
  <si>
    <t>pic.twitter.com/rDQXHdsbzb</t>
  </si>
  <si>
    <t>Anda que menuda #reputación están cosechando don @Albert_Rivera y don @pablocasado_ o viceversa. RT @AmparoRubiales: Le Monde advierte a Ciudadanos y carga contra Casado por "normalizar el discurso" de la extrema derecha</t>
  </si>
  <si>
    <t>https://twitter.com/AmparoRubiales/status/1070065217613324288
https://www.eldiario.es/rastreador/Monde-advierte-Ciudadanos-Casado-normalizar-extrema-derecha_6_842775750.html</t>
  </si>
  <si>
    <t>Barcelona today</t>
  </si>
  <si>
    <t>El PSOE continúa primero en intención de voto mientras que el PP recupera la segunda posición tras un retroceso de Ciudadanos. Respecto a la valoración de los líderes, Pedro Sánchez es el mejor valorado, seguido de Alberto Garzón y Albert Rivera.</t>
  </si>
  <si>
    <t>https://www.antena3.com/noticias/espana/psoe-mantiene-como-primera-fuerza-puntos-ventaja-que-coloca-como-segunda-opcion_201812055c07c1a00cf21af4301aee1d.html</t>
  </si>
  <si>
    <t>Mensaje para el ego revuelto de don @pablocasado_ y el vaivén de don @Albert_Rivera</t>
  </si>
  <si>
    <t>Chapelaundi</t>
  </si>
  <si>
    <t>¿De verdad señor @Albert_Rivera que prefiere usted una alianza para gobernar Andalucía con el @psoeandalucia ¡el PSOE de Andalucía!! antes que con @vox_es ? ¡Pero no joda hombre!</t>
  </si>
  <si>
    <t>Ramón Miranda Torres</t>
  </si>
  <si>
    <t>Que dice Albert Rivera que “por responsabilidad” no puede descartar coaligarse con un partido neofascista... Suerte que es/son responsables, si llegan a ser irresponsables...</t>
  </si>
  <si>
    <t>¡Qué obra la de los catalanistas y filoetarras! ¡Excitar el odio interregional!¡Fomentar el kabilismo español ya dormido!¡Qué pobreza!¡Qué miseria moral!.P.B</t>
  </si>
  <si>
    <t>Aragón-España(Huesca-Zaragoza)</t>
  </si>
  <si>
    <t>La duda es mi más fiel compañera.De Izquierdas y Socialista.Si tengo que elegir elíjo transgredir. Ciudadano del mundo</t>
  </si>
  <si>
    <t>http://ramonesmiranda.wordpress.com</t>
  </si>
  <si>
    <t>Evaristo Alonso</t>
  </si>
  <si>
    <t>Supongo que @Albert_Rivera sopesará sus uniones en Andalucía.. Igual una parte de su electorado no estendería ciertas alianzas ¿ o si ?</t>
  </si>
  <si>
    <t>Se casan unos príncipes, beatifican a un Papa y los pobres lo celebramos con júbilo: ¡Cuánto me gusta la Edad Media! @ftsaez dixit</t>
  </si>
  <si>
    <t>Liberal Enfurruñada</t>
  </si>
  <si>
    <t>Albert Rivera dispuesto al pacto con el PP y sin descartar a VOX pero con Marín de presidente</t>
  </si>
  <si>
    <t>Fernando Acuña</t>
  </si>
  <si>
    <t>https://okdiario.com/espana/andalucia/2018/12/05/rivera-dispuesto-pacto-pp-sin-descartar-vox-pero-marin-presidente-3430883#.XAfj0cglwf4.twitter</t>
  </si>
  <si>
    <t>Tampoco @Albert_Rivera o @JuanMarin_Cs quisieron calificar a @vox_es durante la campaña electoral andaluza. Escurrieron el bulto de forma irresponsable. Se hacen llamar constitucionalistas pero no tienen ninguna decencia democrática de llamar a las cosas por su nombre RT @Tremending: Villacís dice que “hay que respetar” a Vox en la misma entrevista en la que califica el partido de Carmena de “totalitario”</t>
  </si>
  <si>
    <t>https://twitter.com/Tremending/status/1070025946193752065
https://www.publico.es/tremending/2018/12/04/villacis-dice-que-hay-que-respetar-a-vox-en-la-misma-entrevista-en-la-que-califica-el-partido-de-carmena-de-totalitario/?utm_source=twitter&amp;utm_medium=social&amp;utm_campaign=tremending</t>
  </si>
  <si>
    <t>Por la libertad, así como por la honra, se puede y debe aventurar la vida. @okdiario https://www.facebook.com/muyliberal Frases Liberales: https://goo.gl/5dpESU</t>
  </si>
  <si>
    <t>https://okdiario.com/autor/liberal</t>
  </si>
  <si>
    <t>Jurista // Persona // De este planeta // #ComercioJusto #Piensacuandocompres // Derechos Globales y Derecho Administrativo // Maestro de nada, aprendiz de todo</t>
  </si>
  <si>
    <t>mario houses</t>
  </si>
  <si>
    <t>Hey @Albert_Rivera tatuate esto hermano</t>
  </si>
  <si>
    <t>https://pbs.twimg.com/media/DtnGq2CXgAAUg5Q.jpg</t>
  </si>
  <si>
    <t>Nos fumamos un blunt, y me miras Sé que tú quieres hacer frickerias 🦉</t>
  </si>
  <si>
    <t>Catalina de Aragon ن</t>
  </si>
  <si>
    <t>Canción popular Albert Rivera nos quiere gobernar Y no sabemos quien le sigue la corriente Y yo le digo, le digo a la genteeee Q Albert Rivera se la va a pegar!</t>
  </si>
  <si>
    <t>Iván DM</t>
  </si>
  <si>
    <t>El duro editorial de 'Le Monde' que no gustará ni a Casado ni a Rivera: "Es peligroso" @pablocasado_ @Albert_Rivera @Santi_ABASCAL @CiudadanosCs @PPopular @vox_es @podridopopular @lemondefr @NoSoyCiudadanos #fascismo #fascismo #ultraderecha #FarRight</t>
  </si>
  <si>
    <t>Católica. Provida. ن Lucha por la verdad hasta la muerte y el Señor Dios combatirá por ti ن Tengo la sana costumbre de no replicar a ignorantes ilustrados</t>
  </si>
  <si>
    <t>De izquierdas. Harto de lo políticamente correcto. I ❤ Cine, música, lengua española, ciencia. Afectado por la hipoteca #IRPH La contradicción es mi equilibrio.</t>
  </si>
  <si>
    <t>ILEGALIZACION DE LOS COMUNISTAS!!! IGUAL TRATAMIENTO QUE AL NAZISMO #EXISTEN #UNGAUNGAARMY #CUSTODIACOMPARTIDA #NOALINDULTO @VOX_ES @SANTI_ABASCAL @ALBERT_RIVERA @PABLOCASADO_ @PARTIDO_ESP_DES @IGUALDADREAL_ES ¡Firma la petición!  vía @change_es</t>
  </si>
  <si>
    <t>http://chng.it/R49WcwhN</t>
  </si>
  <si>
    <t>Jesús Rivero 🇷🇺</t>
  </si>
  <si>
    <t>Albert Rivera ha puesto un circo y le están creciendo los liberales europeos.</t>
  </si>
  <si>
    <t>Dos Hermanas, Sevilla</t>
  </si>
  <si>
    <t>Enfermero de profesión, ingenuo de vocación. Suscriptor de @ctxt_es</t>
  </si>
  <si>
    <t>Guadalupe Bragado</t>
  </si>
  <si>
    <t>Sixto García Barbero</t>
  </si>
  <si>
    <t>Esta noche nuestra diputada de @CiudadanosCs en la @Asamblea_Ex @VictoriaCsPla entregando un reconocimiento a uno de los diputados extremeños artífices de la Constitución. Homenaje a los constituyentes del 78. #40añosdeconstitución @Albert_Rivera</t>
  </si>
  <si>
    <t>pic.twitter.com/Pw0KDSKqyF</t>
  </si>
  <si>
    <t>Directora General de Formación Profesional y Enseñanzas Artísticas, Deportivas e Idiomas en Comunidad de Madrid...trabajando y siempre aprendiendo!! 🇪🇸</t>
  </si>
  <si>
    <t>http://www.madrid.org/fp</t>
  </si>
  <si>
    <t>CC Empresariales, ADE y Auditoría de Cuentas. Consultor, Asesor Fiscal y Técnico en Auditoría de Cuentas. CIUDADANO de un lugar llamado España.</t>
  </si>
  <si>
    <t>Estimado @Albert_Rivera Andalucía necesita un cambio global. Un cambio en las instituciones con responsabilidad, humildad y generosidad. Todos vemos la salida pero parece que alguno está mirando al lado equivocado. Por favor, hagan lo evidente, no tiren lo que parecía imposible.</t>
  </si>
  <si>
    <t>Martín Veraz</t>
  </si>
  <si>
    <t>El Congreso sí se pone de acuerdo para subir un 2,5% el sueldo a los diputados @sanchezcastejon @Pablo_Iglesias_ @Albert_Rivera @pablocasado_ MENUDA JETA</t>
  </si>
  <si>
    <t>No te pases de listo pero no permitas que el PP te tome por imbécil</t>
  </si>
  <si>
    <t>RSS_Noticias</t>
  </si>
  <si>
    <t>Albert Rivera priorizará negociar con el PP en Andalucía y no descarta que Vox entre en el Gobierno , en tendencia viral desde December 05, 2018 at 02:24PM</t>
  </si>
  <si>
    <t>http://bit.ly/2rkDBBB</t>
  </si>
  <si>
    <t>hola(@)josemanuelrodos.es</t>
  </si>
  <si>
    <t>Noticias más compartidas/comentadas de medios españoles relevantes (El País, El Mundo, ABC, El Confidencial, http://eldiario.es). Por @josemanuelrodos.</t>
  </si>
  <si>
    <t>Sres @Albert_Rivera @pablocasado_ y Vox ¿Van a montar ustedes la Ceda del siglo XXI en Andalucía para gobernar ? #tatarlak</t>
  </si>
  <si>
    <t>celes1646@gmail.com</t>
  </si>
  <si>
    <t>Creo que es la primera vez que publico un pensamiento directamente con Albert Rivera, sabes que estuve más de año y medio en Ciudadanos, cierto es que me fui nadie me echo. El cariño y haber sido parte de C'S algo tengo que decir. Un Partido compuesto de anticonstitucionales....</t>
  </si>
  <si>
    <t>https://pbs.twimg.com/media/DtqPn2IXQAAK3sb.jpg</t>
  </si>
  <si>
    <t>Leganés, Comunidad Madrid GOYA</t>
  </si>
  <si>
    <t>@GOYA OK. GOYA OK.</t>
  </si>
  <si>
    <t>Rivera insiste en que Marín presida Andalucía pero "no descarta ningún escenario" respecto a Vox</t>
  </si>
  <si>
    <t>https://pbs.twimg.com/media/DtqPbKxX4AE7BUa.jpg</t>
  </si>
  <si>
    <t>¿Será posible el segundo café de la concordia en la democracia española? Así termina un gran documental #40AñosDeLibertad Gracias a @sanchezcastejon @pablocasado_ @Pablo_Iglesias_ @Albert_Rivera por estar en la televisión pública madrileña RT @maribalius: Impresionante e imprescindible el documental #40AñosDeLibertad. Tremenda reflexión para todos. Lo que éramos y lo que llegamos a conseguir. Una generación de políticos admirable.</t>
  </si>
  <si>
    <t>https://twitter.com/maribalius/status/1070085785859309570</t>
  </si>
  <si>
    <t>Reira❄</t>
  </si>
  <si>
    <t>Un grupo de mi clase exponiendo un trabajo y poniendo de ejemplo de "pobre sin capacidad para trabajar" la cara de Albert Rivera JAJAJ que fantasia😂</t>
  </si>
  <si>
    <t>20 (d)años. He sido escandalosamente humana y sospecho que este dolor procede de otro mundo. ✉️G-ESC</t>
  </si>
  <si>
    <t>http://ask.fm/raquelahs</t>
  </si>
  <si>
    <t>Mari Carmen Rivero</t>
  </si>
  <si>
    <t>LAS CUATRO CARAS DE JUAN MARÍN UN CHAQUETERO SIN IDEOLOGÍA POLÍTICA ESTE PRETENDE SER PRESIDENTE DE ANDALUCÍA CUANDO A PASADO POR CUATRO PARTIDOS MARIN COMO RIBERA AMBICIOSOS NO LES IMPORTA ANDALUCÍA SOLO SUS PROPIOS INTERESES JUAN MARÍN Y ALBERT RIVERA NO SOIS DE FIAR🤮🤮🤮🤮</t>
  </si>
  <si>
    <t>https://pbs.twimg.com/media/DtqPJznW0AANxul.jpg</t>
  </si>
  <si>
    <t>TE QUIERO ESPAÑA MI PATRIA</t>
  </si>
  <si>
    <t>Este miércoles se publica con la edición impresa de @20m el especial 'La Constitución de la libertad', sobre los 40 años de la Carta Magna. Con artículos de Pedro @SanchezCastejon , @pablocasado_ , @Albert_Rivera , Íñigo @ierrejon y más firmas.</t>
  </si>
  <si>
    <t>https://pbs.twimg.com/media/Dtm28JtW0AE9tMz.jpg</t>
  </si>
  <si>
    <t>Roberto Fernandez</t>
  </si>
  <si>
    <t>ANDALUCÍA. Que decía Albert Rivera de @CiudadanosCs cuando apoyaba a @marianorajoy " porque ganaba las elecciones" ahora ese mismo discurso no vale para apoyar a @susanadiaz en el parlamento andaluz @CiudadanosCs no tiene vergüenza.</t>
  </si>
  <si>
    <t>http://cadenaser.com/ser/2018/12/05/politica/1544015189_962064.html</t>
  </si>
  <si>
    <t>En él mundo hay más bondad o maldad? 🤔🙄</t>
  </si>
  <si>
    <t>La Vanguardia</t>
  </si>
  <si>
    <t>🇪🇸Bea🇪🇸</t>
  </si>
  <si>
    <t>#PactoAndaluzESP @PPopular @vox_es @CiudadanosCs @pablocasado_ @Santi_ABASCAL @Albert_Rivera Todos esos personas son una fuerza ANTIEUROPEA ? Y sus socios filoetarras , secesionistas, y prochavistas ¿qué son SEÑOR SANCHEZ? No tiene medida , #España entera le aborrece RT @sanchezcastejon: Si PP y Cs se apoyan en una fuerza antieuropea como Vox para gobernar Andalucía, tendrán que explicarlo. Quienes creemos en la España de los derechos, europeísta e inclusiva, debemos movilizarnos ante los que cuestionan estos avances. #SánchezT5</t>
  </si>
  <si>
    <t>https://twitter.com/sanchezcastejon/status/1070074025131630592</t>
  </si>
  <si>
    <t>Twitter oficial de 'La Vanguardia' Información al minuto nacional e internacional</t>
  </si>
  <si>
    <t>https://pbs.twimg.com/media/DtmqbvNW0AIvwkQ.jpg</t>
  </si>
  <si>
    <t>http://www.LaVanguardia.com</t>
  </si>
  <si>
    <t>Nazaret Suárez</t>
  </si>
  <si>
    <t>Madre , esposa y muy Española. La verdad se corrompe, no sólo con la mentira, sino con el silencio. #SoyFacha #EleccionesYa #PsoeAlCarajo</t>
  </si>
  <si>
    <t>me olvidé de poner en el suelo los pies y me siento mejor...♀️ Trabajo Social UVa.</t>
  </si>
  <si>
    <t>https://www.instagram.com/nazaret6565/?hl=es</t>
  </si>
  <si>
    <t>Persistim 🎗 🎗</t>
  </si>
  <si>
    <t>Este 2018 @CiutadansCs @Albert_Rivera @manuelvalls @InesArrimadas @carrizosacarlos os desean una feliz navidad !!</t>
  </si>
  <si>
    <t>https://pbs.twimg.com/media/Dtm1bXDWoAYE4ja.jpg</t>
  </si>
  <si>
    <t xml:space="preserve">República de Catalunya </t>
  </si>
  <si>
    <t>«Som fruit de moltes derrotes, però som llavor de totes les victòries» Viatjant cap a Ítaca.</t>
  </si>
  <si>
    <t>Sergio Rodríguez.</t>
  </si>
  <si>
    <t>Que sí, Vox es ultraderecha, fachas de los rancios además. El problema es que llevabáis un par de años llamando facha a Albert Rivera y diciendo que Ciudadanos es ultraderecha, con todas vuestras ganas además, solo por sabotear un partido que no os agrada. Ahora arreglad esto</t>
  </si>
  <si>
    <t>Quieres decir que lo que deseas es volver a gobernar Andalucía con estos @psoeandalucia pero con el trepas este @JuanMarin_Cs de cacique principal.. Voy a disfrutar de ver como reculas o como estrellas a este @Albert_Rivera en las próximas elecciones 🙌 RT @CiudadanoVille: Cs es un partido que crece cuando se abren las urnas y ayer fue un día histórico para Andalucía: los andaluces han votado cambio, y tendrán cambio en la Junta. Sabemos que no será fácil, pero lo vamos a conseguir 👇🏻</t>
  </si>
  <si>
    <t>https://twitter.com/CiudadanoVille/status/1069576046176100352</t>
  </si>
  <si>
    <t>pic.twitter.com/BKr3NOomhA</t>
  </si>
  <si>
    <t>Instagram: @sergiorodriguez_95</t>
  </si>
  <si>
    <t>Pregúntate si estás siendo la mejor versión de ti</t>
  </si>
  <si>
    <t>José Hernando Sanz</t>
  </si>
  <si>
    <t>No no, no es justo, pero Albert Rivera sabe lo q quiere y es lo único que le importa. Desertó de Cataluña cuando todavía faltaba trabajo por hacer. La Sra Arrimadas y ganó las elecciones, pero no ha movido ficha, por tanto se puede esperar cualquier cosa, hasta apoyar al PSOE!!! RT @jaimedeolano: ¿Te parece justo que la ambición personal de Rivera🍊pueda tirar por la borda la voluntad de cambio de millones de andaluces?</t>
  </si>
  <si>
    <t>Oye Pablo, después de este ejemplo de verdadero demócrata aceptando el resultado de las urnas, lo siguiente va a ser venir a nuestras casas y darnos “el paseíllo” a los que no pensemos como tú? @Pablo_Iglesias_ @ahorapodemos @vox @sanchezcastejon @Albert_Rivera @pablocasado_</t>
  </si>
  <si>
    <t>Aragón</t>
  </si>
  <si>
    <t>Jubilado</t>
  </si>
  <si>
    <t>Doble engaño en la reforma electoral de Albert Rivera Sistema electoral mixto alemán 🔈 REINO DE LA FALSEDAD, 🌏 ResistenciaVzla,</t>
  </si>
  <si>
    <t>https://goo.gl/RUcPJF?swe68=4938961468</t>
  </si>
  <si>
    <t>#Estrecho2 ¿porqué Ferreras tiene las pupilas normales y el abogado las tiene como @Albert_Rivera el viernes por la noche.?</t>
  </si>
  <si>
    <t>Alicia Sánchez</t>
  </si>
  <si>
    <t>¿Es cierto @Albert_Rivera ? RT @J_Zaragoza_: Vox reclama la abolición del Estado autonómico, la deportación sistemática de inmigrantes, la ilegalización del aborto, la derogación de la ley contra la violencia sexista y el abandono de los organismos internacionales....y Arrimadas y Rivera dispuestos a sumar sus votos.</t>
  </si>
  <si>
    <t>Listas otros</t>
  </si>
  <si>
    <t>http://ver.20m.es/paddp2</t>
  </si>
  <si>
    <t>https://pbs.twimg.com/media/DtqNM4rWwAEtaJ1.jpg</t>
  </si>
  <si>
    <t>https://twitter.com/J_Zaragoza_/status/1070034582077095937</t>
  </si>
  <si>
    <t>http://listas.20minutos.es/otros/</t>
  </si>
  <si>
    <t>Pensando en voz alta Nacida en los 50. Luchadores x la libertad y la igualdad. Aprendimos a buscar el equilibrio y sortear muchos temporales.</t>
  </si>
  <si>
    <t>Michel M</t>
  </si>
  <si>
    <t>Que @JuanMa_Moreno presidirá la Junta es lo previsible y es lo normal. Pero mal empezamos si @Albert_Rivera pretende hacer su particular cordón sanitario con @vox_es Hay 400000 votantes q no tienen q esconderse ni justificarse ni q los traten como apestados! Merecen respeto!</t>
  </si>
  <si>
    <t xml:space="preserve">Manchester/Madrid </t>
  </si>
  <si>
    <t>Former tax man/teacher/DJ/journalist...non pro film director/editor/writer/.., film&amp;tennis lover...a bit Jack of all trades! Civil Eng again! Always learning ;)</t>
  </si>
  <si>
    <t>Manuel Jesús Jiménez</t>
  </si>
  <si>
    <t>📽 Albert Rivera "La Ejecutiva de Cs ha decidido abrir negociaciones para un nuevo gobierno en Andalucía con exigencias claras: que sea un gobierno de cambio, que al frente esté un partido limpio con capacidad de diálogo y que lidere una opción que...</t>
  </si>
  <si>
    <t>https://www.facebook.com/CiudadanosLaPuebladelRio/videos/505898813254365/</t>
  </si>
  <si>
    <t>elcriticonhistorico</t>
  </si>
  <si>
    <t>#ElCascabel4D ¿En Andalucía sería factible un gobierno de coalición PP+C's, con dos años de presidencia rotatoria? @AntonioRNaranjo @esperanzaona @JuanMarin_Cs @JuanMa_Moreno @mromvi @Albert_Rivera @pablocasado_ @InesArrimadas</t>
  </si>
  <si>
    <t>Fernando Cruz</t>
  </si>
  <si>
    <t>Hay que ser muy tonto para equivocarse... Claramente el de la derecha es Pablo Rivera y el de la izquierda (centro derecha) es Albert Casado.</t>
  </si>
  <si>
    <t>Ingeniero de caminos desde 1977</t>
  </si>
  <si>
    <t>https://pbs.twimg.com/media/DtqMXfVWoAU0aXi.jpg</t>
  </si>
  <si>
    <t>Docente, CM, pero sobre todo un orgulloso y feliz padre de dos bellezas.</t>
  </si>
  <si>
    <t>El Cascabel</t>
  </si>
  <si>
    <t>🔴 "Le he dicho personalmente a @Albert_Rivera que si no apoyan al @PPopular para que gobierne en Andalucía, cavarán su propia tumba". @javiernegre10 en #ElCascabel4D</t>
  </si>
  <si>
    <t>https://pbs.twimg.com/media/DtmqA-bXQAAj1XL.jpg</t>
  </si>
  <si>
    <t>John Müller</t>
  </si>
  <si>
    <t>El mejor análisis del día, con la actualidad social, cultural y política. De lunes a jueves a las 22:30 con Antonio Jiménez y Susana Ollero.</t>
  </si>
  <si>
    <t>http://www.trecetv.es/programas/el-cascabel</t>
  </si>
  <si>
    <t>MAD/SCL/ZOS</t>
  </si>
  <si>
    <t>He visto caer dos democracias: Chile y Venezuela. Parrillero experto. Osornino, carnivorista y colesterólico. Fui bombero. Gitano es mi corazón.</t>
  </si>
  <si>
    <t>https://johnmuller.wordpress.com/author/cultrun/</t>
  </si>
  <si>
    <t>fina esvertit 🎗️</t>
  </si>
  <si>
    <t>Hola @Albert_Rivera @InesArrimadas RT @iescolar: Ojo a este editorial de Le Monde -&gt; advertencias a Ciudadanos y duras críticas a Casado por "normalizar el discurso" de la extrema derecha</t>
  </si>
  <si>
    <t>Barcelona, CAT</t>
  </si>
  <si>
    <t>RRPP i Comunicació. Crec que un món millor és possible. I també un país millor. FCBarcelona al cor. #LlibertatPresosPolíticsiExiliats #FreePoliticalPrisoners</t>
  </si>
  <si>
    <t>http://es.linkedin.com/in/finaesvertit</t>
  </si>
  <si>
    <t>📽 Albert Rivera "Las últimas elecciones trajeron un cambio sustancial: Cs ha pasado de ser un partido que pide cambios, a ser un partido que lidera los cambios. Vamos a priorizar la negociación con el PP para el nuevo gobierno de Andalucía" #ActualidadCs</t>
  </si>
  <si>
    <t>https://www.facebook.com/CiudadanosLaPuebladelRio/videos/1416034765197945/</t>
  </si>
  <si>
    <t>Cs Ciutat Vella BCN</t>
  </si>
  <si>
    <t>Mañana la Constitución está de cumpleaños y vamos a celebrarlo. 🎊Son 40 años de constitucionalismo. 👉🏻Nos reunimos junto a @Albert_Rivera @InesArrimadas y @manuelvalls a las 19h en el Auditorio del conservatorio del Liceu. ¡Te esperamos!</t>
  </si>
  <si>
    <t>https://pbs.twimg.com/media/DtmmHKSW0AEH5I3.jpg</t>
  </si>
  <si>
    <t>Albert ❄️ Me cago en mi vida edition 🖤</t>
  </si>
  <si>
    <t>Nueva edición de «Tu facha me suena», con Santi Abascal, Albert Rivera y Pablo Casado como miembros expertos de nuestro jurado, pronto en tu televisión! Serán muy duros con los candidatos? No seas un rojo de mierda, no te lo pierdas!</t>
  </si>
  <si>
    <t>Agrupación de Ciudadanos C's distrito de Ciutat Vella de Barcelona (cuenta oficial). Progresistas. Liberales. No nacionalistas.</t>
  </si>
  <si>
    <t>http://facebook.com/CiudadanosCiutatVella</t>
  </si>
  <si>
    <t>https://pbs.twimg.com/media/DtqLUWnWwAEPlHF.jpg</t>
  </si>
  <si>
    <t>✊ Alcemos la voz hasta que teman nuestras cuerdas vocales 🎮 Overwatch nivell usuari ☪️ Siervo de Lilith 🖤 Mi bae se llama Shira, y tiene 4 patas</t>
  </si>
  <si>
    <t>http://about.me/albert_nevado</t>
  </si>
  <si>
    <t>Pitter</t>
  </si>
  <si>
    <t>Hola @Albert_Rivera @pablocasado_ @JuanMa_Moreno @JuanMarin_Cs, 👉¿Y si proponemos a un independiente como presidente de la Junta de Andalucia? Propuesta: Manuel Pimentel</t>
  </si>
  <si>
    <t>https://pbs.twimg.com/media/DtmlSgMXgAAnGgA.jpg</t>
  </si>
  <si>
    <t>Ahí</t>
  </si>
  <si>
    <t>Onward and upward. #wherever</t>
  </si>
  <si>
    <t>Si Ciudadanos impide/perturba de alguna forma el cambio en Andalucía habrá cavado su propia fosa para siempre. @Albert_Rivera Rapidito a apoyar al PP y a VOX y que empiece el cambio y se extienda a toda España @WillyTolerdoo RT @WillyTolerdoo: Ciudadanos ya puede dejar de hacer el ridículo diciendo que se presentarán a la investidura. Hay que entrar en el gobierno con el PP y apoyado por VOX desde fuera. Es urgente desmantelar la agencia de colocación socialista. Los parásitos a la puta calle.</t>
  </si>
  <si>
    <t>https://twitter.com/willytolerdoo/status/1069689841242263553</t>
  </si>
  <si>
    <t>Gabriel Ferrer</t>
  </si>
  <si>
    <t>insisto estimados @Albert_Rivera @martamartirio @PatriciaReyesCs ¿habéis enviado representación a esta charla? si la respuesta es afirmativa, ¿quien estaba y que conclusiones ha obtenido? RT @gimenezbarbat: Joaquim Soares: "La inmensa mayoría de los estudios que tienen en cuenta a a mujeres y hombres demuestran que la violencia física es simétrica, y esa simetría no está en modo alguno reflejada en las políticas". #intimatepartnerviolenceagainstmen @EuromindForum @Europarl_ES</t>
  </si>
  <si>
    <t>https://twitter.com/gimenezbarbat/status/1070001258285711360</t>
  </si>
  <si>
    <t>Custodia Compartida, Igualdad Real. Por el cumplimiento efectivo del artículo 14 de la Constitución</t>
  </si>
  <si>
    <t>Yolanda🇪🇸</t>
  </si>
  <si>
    <t>Precisamente este empeño de la izmierda para q no gobierne la derecha, es lo que debería hacer q @JuanMarin_Cs @Albert_Rivera tengan más claro q deben pactar con VOX para q la izquierda (a la q hemos dicho NO en las urnas) no se salga con la suya. Lo contrario sería TRAICIÓN RT @ldpsincomplejos: Comienza la presión a Ciudadanos desde los medios de la izquierda francesa (y española, claro) para que no pacte con Vox, jejeje:</t>
  </si>
  <si>
    <t>Gusiluz</t>
  </si>
  <si>
    <t>pobre Jose Maria... el tenia a sus trillizos bien uniditos hasta que llego Rajoy y primero echo de casa al hemano Albert Rivera y entre Rivera y Rajoy echaron de casa a Abascal y ahora los tres buscan quedarse con la casa ellos solitos... pobre Jose Maria no sabe como unirlos... RT @eldiarioes: La FAES de Aznar pide un pacto entre PP, Ciudadanos y Vox frente al "extremismo izquierdista"</t>
  </si>
  <si>
    <t>https://twitter.com/ldpsincomplejos/status/1070047416672505864
https://www.huffingtonpost.es/2018/12/04/el-duro-editorial-de-le-monde-que-no-gustara-ni-a-casado-ni-a-rivera-es-peligroso_a_23608193/</t>
  </si>
  <si>
    <t>https://twitter.com/eldiarioes/status/1069987694879617029
https://www.eldiario.es/politica/FAES-Andalucia-inteligencia-PSOE-sanitario_0_842716293.html</t>
  </si>
  <si>
    <t>https://pbs.twimg.com/media/DtlW5VyXQAI9xaF.jpg</t>
  </si>
  <si>
    <t>El impuesto de Sucesiones expolia a miles de familias al año en toda España. Nos EXPROPIAN nuestras casas y negocios para subastarlos. ¡¡Es un CRIMEN!!</t>
  </si>
  <si>
    <t>Citizen of the World. Born Chilean, raised Swedish and Catalan by heart. Good music, red wine, swiss milk chocolate and my dear "alien"... that's all I need.</t>
  </si>
  <si>
    <t>Mañana 5 de diciembre 🍊 40 años de constitucionalismo con @Albert_Rivera @InesArrimadas y @manuelvalls 👇🏻</t>
  </si>
  <si>
    <t>https://pbs.twimg.com/media/Dtmj6YfXcAAflzW.jpg</t>
  </si>
  <si>
    <t>La Ejecutiva Cs ha decidido: ✅Garantizar el cambio en Andalucía: el PSOE debe ir a la oposición ✅Que el próximo presidente sea una persona limpia, dialogante y que no para de sumar votos: @JuanMarin_Cs ✅Abrir negociación con el PP para lograr un gobierno de cambio</t>
  </si>
  <si>
    <t>El candidato de #Vox confirma que quieren que #Andalucia pierda las competencias de #Educacion y #Sanidad. Con este facha quieren pactar @Albert_Rivera y @pablocasado_ RT @FSerranoCastro: Desde @vox_es dejamos claras nuestras prioridades para Andalucía: -Devolución de las competencias de Sanidad y Educación -Fin de los impuestos abusivos e injustos -Derogación de las leyes ideológicas -Defensa de nuestras tradiciones -Fronteras seguras -España, lo primero</t>
  </si>
  <si>
    <t>Hispanidad</t>
  </si>
  <si>
    <t>Albert Rivera, dispuesto a pactar con todos menos el PSOE</t>
  </si>
  <si>
    <t>https://www.hispanidad.com/confidencial/rivera-dispuesto-a-pactar-con-todos-en-andalucia-menos-con-el-psoe_12006013_102.html?utm_source=Twitter&amp;utm_medium=Social&amp;utm_content=Post</t>
  </si>
  <si>
    <t>Decano de la prensa digital española. Fundado el 20 de marzo de 1996</t>
  </si>
  <si>
    <t>http://www.hispanidad.com</t>
  </si>
  <si>
    <t>Voy a probar... @Albert_Rivera , que era una crítica constructiva, de un buen muchacho @harryelsocio RT @harryelsocio: A mí bloqueó Albert Rivera por decir que "Marín es un carajote de manual al que solo le faltó militar en los Hare Khrisna". Se ve que no entendió el concepto.</t>
  </si>
  <si>
    <t>https://twitter.com/harryelsocio/status/1070043579400232960</t>
  </si>
  <si>
    <t>juanlu</t>
  </si>
  <si>
    <t>Hola @Albert_Rivera coge este pantallazo y le explicas a tus votantes (o exvotantes) por qué aspiráis a pactar (con abstención con @pnique ) y reniegas de @Santi_ABASCAL 😘😘😘</t>
  </si>
  <si>
    <t>https://pbs.twimg.com/media/Dtmgm_RXgAUvLpI.jpg</t>
  </si>
  <si>
    <t>"Os dieron a elegir entre el deshonor y la guerra, elegisteis el deshonor. Ahora tendréis la guerra" Churchill. A quien critique mi camino,le regalo mis zapatos</t>
  </si>
  <si>
    <t>Juanito Cabeza</t>
  </si>
  <si>
    <t>El Sr. @Albert_Rivera en 2016 acordó que @sanchezcastejon fuese presidente y estuvo dispuesto a aceptar el apoyo de investidura de los chavistas de @ahorapodemos siempre que se quedasen fuera del gobierno...¿Por que no lo hace igual con @ppandaluz y @Alternativa_VOX ?? #SanchezT5</t>
  </si>
  <si>
    <t>Periodista interesado en cultura, entretenimiento, deportes, economía y política.</t>
  </si>
  <si>
    <t>Consolat de Marinaleda, Sant Esteve de les Roures</t>
  </si>
  <si>
    <t>Aquí, esperando a que @sanchezcastejon se envuelva en una arbonaida y reclame el #4D (y si tiene éxito, se lo apropiará @Albert_Rivera)</t>
  </si>
  <si>
    <t>Carrer de les Nacions 1328, Sa</t>
  </si>
  <si>
    <t>Felisa Pérez Segovia</t>
  </si>
  <si>
    <t>Andalucía: Albert Rivera dispuesto al pacto con el PP y sin descartar a VOX pero con Marín de presidente  no me fiaría de este personaje, se nota su ansia de poder por eso ya pasó por 4 partidos</t>
  </si>
  <si>
    <t>ᴄᴏɴᴛʀᴏʟᴇɪᴛᴏʀ🇪🇸</t>
  </si>
  <si>
    <t>Y yo no voy a votar otra vez a un partido que está más preocupado por la camisa que por el traje. Este señor es bobo de remate. Y se va a tener que comer las tonterías que dice. Al tiempo.😏 @Albert_Rivera RT @Gato_directo: Juan Marín: 'No vamos a cambiar el partido de los ERE por el de la Gürtel o el de Bárcenas'</t>
  </si>
  <si>
    <t>https://okdiario.com/espana/andalucia/2018/12/05/rivera-dispuesto-pacto-pp-sin-descartar-vox-pero-marin-presidente-3430883#.XAfY2x3b_Dd.twitter</t>
  </si>
  <si>
    <t>https://twitter.com/gato_directo/status/1070052370309099522
https://www.youtube.com/watch?v=twozHw6SAgU</t>
  </si>
  <si>
    <t>Mieres, Asturias</t>
  </si>
  <si>
    <t>¿Puedes devolver la vida? Entonces no te apresures a dispensar la muerte" Can you return life? Then do not rush to dispense death "(J.R.R. Tolkien)</t>
  </si>
  <si>
    <t>http://felisaps.blogspot.com.es</t>
  </si>
  <si>
    <t>DaniMullor</t>
  </si>
  <si>
    <t>Ojo con esto, @Albert_Rivera que igual los votos de los que te íbamos a hacer presidente ahora nos los llevamos a @vox_es ellos no dudan. Pactar con PSOE te puede llevar a la ruina y por la caridad entra la peste... RT @Bribon1970: 😊 #FelizMartes 🤔Es creíble un partido que, por sus cojonas, quiere gobernar Andalucía siendo tercera fuerza más votada, después de haber ganado en Cataluña y no haber intentado gobernar❓ 🧡Rivera debería saber q, si pacta con el PSOE ahora, España le noqueará en las generales</t>
  </si>
  <si>
    <t>https://twitter.com/Bribon1970/status/1069862840327172096</t>
  </si>
  <si>
    <t>https://pbs.twimg.com/media/Dtjqk3JW4AIvAvO.jpg</t>
  </si>
  <si>
    <t>Loco por la vida, las cosas hermosas, mi niña y mis sueños. Empezamos proyecto de runner, algo que nunca debí abandonar. Dani&amp;Daniela</t>
  </si>
  <si>
    <t>Muly</t>
  </si>
  <si>
    <t>Albert Rivera pactaría con el mismísimo demonio si con eso evitase incomodar a las élites.</t>
  </si>
  <si>
    <t>MaragallBCN</t>
  </si>
  <si>
    <t>Que el Ku Klux Klan felicite a Santiago Abascal debe ser motivo de orgullo para él, y qué hay más andaluz que un señor con capirote te felicite. Ahora quiero ver a @Albert_Rivera votar conjuntamente con esta gente en lugar de gobernar ellos, o a repetir elecciones.</t>
  </si>
  <si>
    <t>La curiosidad es mi caballo y nunca acabo de aprender si estoy despierto_ Estoy aquí para expresarme, no para impresionarte_ #15M // Sr. Fiscal: RT≠endorsement</t>
  </si>
  <si>
    <t>http://www.movimiento15m.org</t>
  </si>
  <si>
    <t>No estoy aquí para gustarte, estoy para expresar mis opiniones. No me preocupan los seguidores, y no pongo una foto porque tampoco estoy aquí para ligar.</t>
  </si>
  <si>
    <t>Que diferencia entre oír al Presidente @sanchezcastejon u oír a @Albert_Rivera o @pablocasado_, como la diferencia entre el día y la noche o como la paz y la guerra.</t>
  </si>
  <si>
    <t>España🇪🇸&amp;Venezuela🇻🇪</t>
  </si>
  <si>
    <t>Si en Andalucía @CiudadanosCs y el señor @Albert_Rivera le da la espalda a los votantes q quieren un cambio pactando con Susanita... Creo q esa organización se desplomaria por completo... #SosEspaña</t>
  </si>
  <si>
    <t>https://pbs.twimg.com/media/DtmaJbyXcAQX7CA.jpg</t>
  </si>
  <si>
    <t>Creó en la Democracia, Libertad de Pensamiento, Libertades Económicas y Respecto a los Derechos Humanos. #SOSESPAÑOLESENVENEZUELA ️#SosVzla #SOSNicaragua</t>
  </si>
  <si>
    <t>http://JPOMBO.ES</t>
  </si>
  <si>
    <t>Pedro Sánchez @sanchezcastejon: "Tras las elecciones vi a Pablo Casado @pablocasado_ celebrar. Imagino que no celebraba los resultados del PP, sino los de Vox" 🎙 @Albert_Rivera tendría que escuchar más a Valls @manuelvalls hablar de @vox_es #SánchezT5</t>
  </si>
  <si>
    <t>Si Albert Rivera dice que no entrará en una alianza con Vox, yo le creo. Porque cuando dijo que a mí nunca me haría Presidente, cumplió. Vaya si cumplió. #AbascalAR</t>
  </si>
  <si>
    <t>Joel Plazas🎗Subirós 🇧🇪🇩🇰🇬🇧🇨🇭🇩🇪🇫🇮🇳🇱</t>
  </si>
  <si>
    <t>#VagadeFam: ¿@PSOE hasta cuándo dejarán de condenar la violencia de la @policia y la @guardiacivil el #1Oct e intentarán una solución dialogada, no-violenta? CC: @interiorgob @socialistes_cat @PPopular @CiudadanosCs @sanchezcastejon @miqueliceta @pablocasado_ @Albert_Rivera @coe RT @jcuixart: Missatge des de la presó: Dos homes bons s'uneixen a la vaga de fam. Ens tenim els uns als altres. Des d'@omnium ens conjurem amb la voluntat insubornable que mai caminaran sols</t>
  </si>
  <si>
    <t>https://twitter.com/jcuixart/status/1069641708122574854</t>
  </si>
  <si>
    <t>https://pbs.twimg.com/media/DtghbDqXQAEDzMS.jpg</t>
  </si>
  <si>
    <t xml:space="preserve">Girona, República Catalana. </t>
  </si>
  <si>
    <t>Metge. Health Promotion &amp; Research MSc. Amb @SanitarisxRep. Autor: JA ESTÀ TOT DIT? O encara queden llums de pau...</t>
  </si>
  <si>
    <t>https://www.facebook.com/groups/65828887086/</t>
  </si>
  <si>
    <t>NEWS</t>
  </si>
  <si>
    <t>https://thenewsatyourfingertips.wordpress.com/2018/12/05/albert-rivera-priorizara-negociar-con-el-pp-en-andalucia-y-no-descarta-que-vox-entre-en-el-gobierno/</t>
  </si>
  <si>
    <t>ARREBOL</t>
  </si>
  <si>
    <t>🔴 Aznar rompe su silencio tras las #EleccionesAndalucia2018, mandándole un recadito a @Albert_Rivera a través de #FAES.</t>
  </si>
  <si>
    <t>https://www.huffingtonpost.es/2018/12/04/aznar-apuesta-por-un-pacto-de-pp-cs-y-vox-en-andalucia-aunque-sea-dificil_a_23608102/</t>
  </si>
  <si>
    <t>Albert Rivera se presentó a unas elecciones pactando con los fascistas de Libertas, pero ahora se ha moderado y por eso en Andalucía Ciudadanos pactará con los fascistas de VOX, que, al parecer, es algo completamente distinto.</t>
  </si>
  <si>
    <t>Honey Land</t>
  </si>
  <si>
    <t>Colectivo ciudadano preocupado por la reflexión política y la cultura democrática (Colaboramos en la difusión de campañas sociales. Envíanos MD)</t>
  </si>
  <si>
    <t>http://arrebol-guadalajara.blogspot.com.es/</t>
  </si>
  <si>
    <t>fins a la república ✊</t>
  </si>
  <si>
    <t>#AndaluciaAntifascista #VagaDeFam #LlibertatPresosPolítics #ArmillesGrogues @Albert_Rivera @pablocasado_ @InesArrimadas @escaro13 Le llamamos FASCISMO ya? 🙄 RT @MomentsES: ⚡️ David Duke, exlíder del Ku Klux Klan, felicitó a @vox_es por los resultados que obtuvo en las elecciones en Andalucía</t>
  </si>
  <si>
    <t>https://twitter.com/MomentsES/status/1070021547560058881
https://twitter.com/i/events/1069999709270433792</t>
  </si>
  <si>
    <t>🤔Intentando entender el género humano</t>
  </si>
  <si>
    <t>Suso Ares</t>
  </si>
  <si>
    <t>.@sanchezcastejon "Me gustaría saber cómo le va a decir @Albert_Rivera a @EmmanuelMacron que va a pactar con la sucursal española del Frente Nacional". #SanchezT5</t>
  </si>
  <si>
    <t>https://pbs.twimg.com/media/DtmYLnQWkAYL3AA.jpg</t>
  </si>
  <si>
    <t>Talo™️</t>
  </si>
  <si>
    <t>Esta se ha tomado el café con la misma azucar q Albert Rivera RT @mugiwarasens: MÁXIMA DIFUSIÓN ,esto ha pasado en Archena (Murcia), si este es el racismo que queremos tener con VOX de por medio yo no sé qué pensar ya de este tipo de gente</t>
  </si>
  <si>
    <t>Técnico Superior ASIR, licenciado en Veterinaria... y sigo entusiasmado por aprender. 🌹 No desesperes: recuerda que los aviones despegan contra el viento. 🛫</t>
  </si>
  <si>
    <t>https://twitter.com/mugiwarasens/status/1070056571089154048</t>
  </si>
  <si>
    <t>pic.twitter.com/jkR7lBE4GT</t>
  </si>
  <si>
    <t>Italo-argentino</t>
  </si>
  <si>
    <t>Virginia Mayoral</t>
  </si>
  <si>
    <t>#SanchezT5 asegura q el ascenso d VOX tiene mucho q ver con la debilidad d los liderazgos d @pablocasado_ y @Albert_Rivera</t>
  </si>
  <si>
    <t>Periodista de Informativos Telecinco. Me gusta la política, los temas de Defensa y una buena conversación.</t>
  </si>
  <si>
    <t>maría cristóbal</t>
  </si>
  <si>
    <t>Pues @CiudadanosCs @Albert_Rivera decid hola y adiós al poder RT @CastigadorY: Ciudadanos pide la Junta a PP y PSOE porque sino se dará "la llave" a Vox, el partido de Rivera deja claro que prefiere decantarse hacia la izquierda corrupta y dar de lado a 400000 personas que han votado cambio con VOX, habéis estafado a los Andaluces.</t>
  </si>
  <si>
    <t>LoLa ✌️</t>
  </si>
  <si>
    <t>A que no hay? Si eso lo hace C,s en las Gererales de mayo el PP y VOX "revientan"el Congreso y el Senado, adelante @Albert_Rivera danos esa alegría, de esa forma pasarás a formar parte d los traidores a España y al mismo tiempo se cabará su propia tumba política, adelante pero ya RT @PatriotaNene: Nueva apuesta: Gobierno bipartito C's y PSOE con Marín de Presidente y sin Susana Díaz con la abstención de PODEMOS</t>
  </si>
  <si>
    <t>#DiadelVoluntariado #TiempoPactosARV #FelizMiércoles Albert Rivera "Nosotros creemos que si el PSOE tiene sentido de la responsabilidad y sentido de Estado tiene que permitir un Gobierno de Ciudadanos y PP" 📢Yo me pregunto: el idiot@ de Rivera no sabe sumar? 🤔 #AbascalAR</t>
  </si>
  <si>
    <t>https://pbs.twimg.com/media/DtqCOulW4AE1KTE.jpg</t>
  </si>
  <si>
    <t>https://twitter.com/PatriotaNene/status/1069687892316995585</t>
  </si>
  <si>
    <t>San Petersburgo, Rusia</t>
  </si>
  <si>
    <t>✌️100% Populist 🇷🇺 Stop Neoliberals Puppets</t>
  </si>
  <si>
    <t>Begotxu</t>
  </si>
  <si>
    <t>Manuel Valls está seguro de las convicciones de C´s. Joer, ¡pues ya sabe más que Albert Ruleta Rivera!</t>
  </si>
  <si>
    <t>Anna Viscosa 💙❤️</t>
  </si>
  <si>
    <t>Bueno @Albert_Rivera si el PSOE lleva los presupuestos y son apoyados por los indepes, seguirás pidiendo el apoyo de los socialistas andaluces?? Haz política, que el PP, ahora mismo, está en proceso de limpieza y abatido por la justicia!!!</t>
  </si>
  <si>
    <t>Serán libres... o no serán!!</t>
  </si>
  <si>
    <t>angel zamora</t>
  </si>
  <si>
    <t>Barcelona-España</t>
  </si>
  <si>
    <t>Francotiradora, pero no tengo wasap!!! CULE HASTA LA MEDULA!!! 💙❤️ NO MD</t>
  </si>
  <si>
    <t>CARACAS- VENEZUELA</t>
  </si>
  <si>
    <t>ABOGADO PENALISTA-CRIMINÓLOGO. INTERNACIONALISTA DEL DERECHO HUMANITARIO QUE CREE EN LA JUSTICIA.</t>
  </si>
  <si>
    <t>Samuelbeticovlc</t>
  </si>
  <si>
    <t>Como votante de ciudadanos que soy, si el señor @Albert_Rivera no pacta con la derecha y echa fuera al psoe, en mi caso perdería mi voto y el de todos de mi casa que apoyamos a ciudadanos.</t>
  </si>
  <si>
    <t>Rojo❤️💛💜&amp;Maricón *****✊♀️🌈🎗️🇵🇸****</t>
  </si>
  <si>
    <t>Galiza: Franco, Fraga, ... Catalunya: Albert Rivera. Euskadi: Santiago Abascal. Parece qué la periferia es una fábrica de líderes fascistas. (No pongo a Rajoy porque lo han hecho social-demócrata) #TiempoPactosARV #AbascalAR</t>
  </si>
  <si>
    <t>Ourense, Galicia</t>
  </si>
  <si>
    <t>Mentalidad divergente! Radical. Feminista. De Izquierdas...Aprendiz de la vida. Amante de la política, la música,el cine, las series y cualquier tipo de arte...</t>
  </si>
  <si>
    <t>real betis balompié. mi cuenta de antes era samuelbeticocb</t>
  </si>
  <si>
    <t>Vandals RCD</t>
  </si>
  <si>
    <t>Pablo Casado niega ser Albert Rivera RT @abc_es: El presidente de Nigeria desmiente haber muerto y que gobierne su clon</t>
  </si>
  <si>
    <t>https://twitter.com/abc_es/status/1069644938814603265
http://ver.abc.es/4en2t2</t>
  </si>
  <si>
    <t>Gabriel López</t>
  </si>
  <si>
    <t>ESTÁ CLARO | Cualquiera de estos tres líderes que "falle" en el desalojo del @PSOE de la Junta de Andalucía después de 40 años de compadreo se verá inexorablemente ligado a una pérdida de electorado brutal. @pablocasado_ @Albert_Rivera @Santi_ABASCAL #eleccionesandaluzas2018</t>
  </si>
  <si>
    <t>Only RCD</t>
  </si>
  <si>
    <t>https://pbs.twimg.com/media/DtmRP07W4AIpIRQ.jpg</t>
  </si>
  <si>
    <t>SÍGUEME Y TE SIGO. Pensaba quitarme el chupete esta semana pero me han puesto de mala hostia.</t>
  </si>
  <si>
    <t>http://agorafutura.wordpress.com</t>
  </si>
  <si>
    <t>Bravo Anguita @Pablo_Iglesias_ @Albert_Rivera @Santi_ABASCAL @EspejoPublico @ElCascabelTRECE @pablocasado_ Creo que deberíais invitarle a tertulias,es un auténtico Salomón No os perdáis esto DIFUNDE @Miotroyo2parte @_SantosTrinidad @AntonioRNaranjo @javiernegre10 @CristinaSegui_ RT @yolandacmorin: Aquí Julio Anguita dando una lección magistral de política...</t>
  </si>
  <si>
    <t>https://twitter.com/yolandacmorin/status/1070041519766286336</t>
  </si>
  <si>
    <t>pic.twitter.com/qKo9SwmJUT</t>
  </si>
  <si>
    <t>flamenca</t>
  </si>
  <si>
    <t>Te has lucido eligiendo @Albert_Rivera !!!! Alguna explicación tienes que dar ! @JuanMarin_Cs chaquetero!!!</t>
  </si>
  <si>
    <t>https://pbs.twimg.com/media/DtmQm2rW4AI8opR.jpg</t>
  </si>
  <si>
    <t>Hola @Albert_Rivera palabras más repetidas en tweets con cabreo últimas 24h</t>
  </si>
  <si>
    <t>Adela Cañas Fermín</t>
  </si>
  <si>
    <t>https://ift.tt/2RBmp6u</t>
  </si>
  <si>
    <t>En las nubes</t>
  </si>
  <si>
    <t>No hay alivio más grande que comenzar a ser lo que se es</t>
  </si>
  <si>
    <t>Titulares 24 horas</t>
  </si>
  <si>
    <t>Noticias las 24 horas del dia</t>
  </si>
  <si>
    <t>https://pbs.twimg.com/media/DtmQcpbWwAAM9aZ.jpg</t>
  </si>
  <si>
    <t>Ciudadanos llamará hoy al pp para negociar un acuerdo de gobierno en Andalucía con las abstenciones del psoe sin contar con vox Albert Rivera estas demostrando que eres tan rojo comunistas como SÁNCHEZ y Pablo Iglesias eres un traidor</t>
  </si>
  <si>
    <t>https://pbs.twimg.com/media/Dtp_bldW4AA_eLG.jpg</t>
  </si>
  <si>
    <t>Mac Areno's</t>
  </si>
  <si>
    <t>Como Albert Rivera, pode pactar nun periodo dun ano con PP, PSOE e VOX? Segun teña o alcance do poder máis cerca cambia de opinión. Por favor que alguén me explique como un paisano así pode presidir un partido electoral 😓</t>
  </si>
  <si>
    <t>Moraime 12, ou a Cuneta</t>
  </si>
  <si>
    <t>Estrella Galicia Red Vintage 1906</t>
  </si>
  <si>
    <t>http://OCucoEABalsa.com</t>
  </si>
  <si>
    <t>El Mundo España</t>
  </si>
  <si>
    <t>Sección 'España' del diario El Mundo. #EleccionesGenerales #Politica #Tribunales #Seguridad #CasaReal #Partidos #Debate #Corrupcion #UltimaHora</t>
  </si>
  <si>
    <t>http://www.elmundo.es/espana.html</t>
  </si>
  <si>
    <t>🆕 @Albert_Rivera dice a Sánchez que los andaluces dan la espalda a su alianza con los independentistas 📰La noticia en El Día👇</t>
  </si>
  <si>
    <t>https://eldia.es/nacional/2018-12-03/23-Rivera-dice-Sanchez-andaluces-dan-espalda-alianza-independentistas.htm</t>
  </si>
  <si>
    <t>KKO DIARIO</t>
  </si>
  <si>
    <t>Antes de Vox, Ciudadanos ya pactó por dinero con la extrema derecha de Libertas. Albert Rivera: “Cuando se pone sobre la mesa esa cantidad de dinero te lo planteas" #TiempoPactosARV #FelizMiércoles</t>
  </si>
  <si>
    <t>Mostrando el KKO que montan y tienen en la cabeza la derecha, ultraderecha, Pantuflo and company. ❤💛💜</t>
  </si>
  <si>
    <t>Algo q decir @Albert_Rivera RT @Pelayo1938: C's ha perdido claramente el sentido común y el de la realidad. Se empeña tenaz en lo que no debe ni puede conseguir. Qué decepción !</t>
  </si>
  <si>
    <t>https://twitter.com/pelayo1938/status/1069864618925932544
https://twitter.com/Bribon1970/status/1069862840327172096</t>
  </si>
  <si>
    <t>Carlos Quivén</t>
  </si>
  <si>
    <t>Segundo esta enquisa habería tripartito PP-C's-Vox con Albert Rivera de presidente... RT @electo_mania: ‼️‼️ #ElectoPanel diciembre: Vox irrumpe con fuerza en el Congreso rozando los 30 escaños. Ciudadanos se coloca primero tras la caída de PP, PSOE y UP. La suma PP+PSOE 🌹💧se queda en el 38% y tiñe de naranja el mapa del partido ganador por provincias.</t>
  </si>
  <si>
    <t>https://twitter.com/electo_mania/status/1070233921739214848
http://electomania.es</t>
  </si>
  <si>
    <t>https://pbs.twimg.com/media/Dto8Ew6WkAAJiIO.jpg</t>
  </si>
  <si>
    <t>🇪🇸🇪🇸🇪🇸Almudena 🇪🇸🇪🇸🇪🇸</t>
  </si>
  <si>
    <t>Compostela, GZ</t>
  </si>
  <si>
    <t>Ser diferente é ser existente. Graduado en Historia. Actualmente curso o Máster en Hª Contemporánea na USC.</t>
  </si>
  <si>
    <t>Pero vamos a ver @Albert_Rivera que tienes tu en contra de @vox_es ? Eres un queda bien, veleta, te mueves según venga el viento, y eso...no puede ser. Si @psoedeandalucia vuelve a la Junta, tendréis garantizada, vuestra debacle. Un saludo. RT @larazon_es: #EleccionesAndalucía 👉 El @PPopular descarta que @vox_es quiera entrar en el nuevo Gobierno andaluz.</t>
  </si>
  <si>
    <t>https://twitter.com/larazon_es/status/1070043016461737985
http://lrzn.es/q7gc01</t>
  </si>
  <si>
    <t>https://pbs.twimg.com/media/DtmOc8-WoAID0gL.jpg</t>
  </si>
  <si>
    <t xml:space="preserve">Sur de España. </t>
  </si>
  <si>
    <t>Me joden los profetas</t>
  </si>
  <si>
    <t>Ivan</t>
  </si>
  <si>
    <t>Hostia lo de #Dinamarca y su isla para inmigrantes es la polla, ya. Ya veréis lo que tarda el Frente Fachetico d @pablocasado_ @Albert_Rivera y @Santi_ABASCAL en querer mandar a los inmigrantes q hay en Andalucia a "Perejil"  #PararElMundoQueMeBajo</t>
  </si>
  <si>
    <t>https://es.noticias.yahoo.com/el-plan-de-dinamarca-para-aislar-los-inmigrantes-que-no-quiere-en-una-isla-diminuta-110954009.html</t>
  </si>
  <si>
    <t>Joan</t>
  </si>
  <si>
    <t>"luego dirán que somos fachas" - albert rivera RT @el_pais: AMPLIACIÓN | Rivera ve "irresponsable" excluir a VOX de las negociaciones en Andalucía. Sin embargo, el candidato que apoyan para la alcaldía de Barcelona, @manuelvalls, ha dicho esta mañana: "No puede haber ningún pacto con la extrema derecha"</t>
  </si>
  <si>
    <t>mis hobbies incluyen recomendar el puente y seguir jornadas electorales</t>
  </si>
  <si>
    <t>Vicente Buitrón Pozo</t>
  </si>
  <si>
    <t>Asturiano en Londres por obra y gracia de los políticos bastardos y como han dejado ese país del q sólo aman su bandera. Pues mi bandera es esta: 🏴 #Atapuerca</t>
  </si>
  <si>
    <t>A mí esta propuesta de @CiudadanosCs @Cs_Sevilla_ me parece una vergüenza. Acepta gobernar con el apoyo del PSOE (y de Podemos?). Y su argumento contra el PP es de un cinismo espeluznante. Huele bastante mal. A chanchullo y choriceo con el PSOE. Flipo!!! @Albert_Rivera RT @CiudadanosCs: 📻 @CiudadanoVille "El candidato a presidir Andalucía no puede estar manchado por la corrupción ni puede haber perdido votos. Si no apoyan a @JuanMarin_Cs, le estarán dando la llave del gobierno a los extremos" en @HerreraenCOPE</t>
  </si>
  <si>
    <t>https://twitter.com/ciudadanoscs/status/1069927927469522945</t>
  </si>
  <si>
    <t>pic.twitter.com/ze9N4QaP3J</t>
  </si>
  <si>
    <t>ALBERT RIVERA sólo baraja un Gobierno con el PP si el candidato de Ciudadanos, Juan Marín, pre…  vía @Noticias24horas tras resultados #EleccionesAndalucia2018</t>
  </si>
  <si>
    <t>http://www.noticias24horas.com/albert-rivera-solo-baraja-un-gobierno-con-el-pp-si-el-candidato-de-ciudadanos-juan-marin-preside-la-junta/</t>
  </si>
  <si>
    <t>Mateo HeHu</t>
  </si>
  <si>
    <t>el dilema de @CiudadanosCs en dos respuestas a un tweet de @Albert_Rivera 1)Pactar con PSOE=traición 2)Pactar con VOX=traición</t>
  </si>
  <si>
    <t>https://pbs.twimg.com/media/DtmJZIzXQAYaOOT.jpg</t>
  </si>
  <si>
    <t>Madrid-Valladolid</t>
  </si>
  <si>
    <t>Carpe Diem.</t>
  </si>
  <si>
    <t>https://onlyhumansiteblog.wordpress.com/</t>
  </si>
  <si>
    <t>Maldita Sea Muchacho</t>
  </si>
  <si>
    <t>Así que no se puede ehhh @sanchezcastejon @pablocasado @Pablo_Iglesias @Albert_Rivera @agarzon #AbusoDeImpuestos #carburantes</t>
  </si>
  <si>
    <t>https://pbs.twimg.com/media/DtmIdnaXQAIHEZC.jpg</t>
  </si>
  <si>
    <t>No</t>
  </si>
  <si>
    <t>Maldita sea muchacho, te he pedido una cerveza y no la veo por ninguna parte.</t>
  </si>
  <si>
    <t>Radio Valladolid</t>
  </si>
  <si>
    <t>Óscar Puente: "Albert Rivera va a ser el pagafantas del PP y VOX en Andalucía  vía @ValladolidSER</t>
  </si>
  <si>
    <t>LADY VALIUM</t>
  </si>
  <si>
    <t>que digo yo que @Albert_Rivera ya sabrá que como @CiudadanosCs pacte con el psoe en andalucia la jode toda no? vamos que en las grales se come una mierda. que digo yo que ya sabe donde tiene que estar</t>
  </si>
  <si>
    <t>http://cadenaser.com/emisora/2018/12/05/radio_valladolid/1544011958_660205.html?ssm=tw</t>
  </si>
  <si>
    <t>Valladolid (España)</t>
  </si>
  <si>
    <t>La Cadena SER te trae los titulares informativos del día.</t>
  </si>
  <si>
    <t>http://www.radiovalladolid.es</t>
  </si>
  <si>
    <t>asturias</t>
  </si>
  <si>
    <t>mas vale tarde que nunca, de paraguas a sombrilla</t>
  </si>
  <si>
    <t>Josepatches</t>
  </si>
  <si>
    <t>Por qué cojones pluralizais? "La izquierda española.." Yo lo he leido a medios de derechas y a gente que de izquierdas tiene lo que albert rivera .....na, que es mejor seguir el papel de victima RT @arnauriwz: [Hilo ⬇️] Es INCREÍBLE que la izquierda española responsabilice a los autodeterministas catalanes del auge de VOX cuando precisamente son ellos los responsables directos de la tragedia.</t>
  </si>
  <si>
    <t>https://twitter.com/arnauriwz/status/1070269612678369282</t>
  </si>
  <si>
    <t>XaviBoadaVila||*||</t>
  </si>
  <si>
    <t>Susana Díaz al parecer no es tan mala, quiere el dinero de los catalanes como todos los españoles pero no nos odia, @InesArrimadas y @Albert_Rivera si. La campaña de @CiudadanosCs en Andalucía ha sido contra los catalanes, eso ha unido andaluces.</t>
  </si>
  <si>
    <t>Oviedo - Los Caleyos (Llanes)</t>
  </si>
  <si>
    <t>Puxa Asturies Instagram: josepatches</t>
  </si>
  <si>
    <t>http://acordesinformaticos.blogspot.com</t>
  </si>
  <si>
    <t>Barcelona - Europe</t>
  </si>
  <si>
    <t>🎗🎗Escritor https://politicaespanyola.com #followback Tractorero payés catalán RT no significa adhesión 🎗🎗</t>
  </si>
  <si>
    <t>http://www.xaviboadavila.com</t>
  </si>
  <si>
    <t>Kapy</t>
  </si>
  <si>
    <t>Si si @Albert_Rivera pero ahora no vale ponerse de perfil o hacer contorsiones circenses. No vais a tener más oportunidades si elegís mal y no sumáis . El primera Cs sacó 9 y ahora 21 . Voz a la primera 12 ...imagina en la próximas generales RT @Albert_Rivera: 🎥 No me canso de dar las gracias a todos los andaluces que han apoyado un cambio histórico para su tierra. Nos decían que era imposible pero después de casi 40 años vamos a desalojar al PSOE de la Junta para liderar un nuevo gobierno con nuevas personas y nuevas políticas.</t>
  </si>
  <si>
    <t>https://twitter.com/Albert_Rivera/status/1069709488574337025</t>
  </si>
  <si>
    <t>pic.twitter.com/vYTLza3Orh</t>
  </si>
  <si>
    <t>Rivera anuncia que dará prioridad a negociar un Gobierno de “cambio” con el PP pero con Marín de presidente  El presidente de Ciudadanos, Albert Rivera, ha anunciado que dará prioridad a negociar un Gobierno de “cambio” en Andalucía con el Partido Popula…</t>
  </si>
  <si>
    <t>https://ift.tt/2E1boY8</t>
  </si>
  <si>
    <t>Español sin condiciones. Alérgico a la estupidez.Todo es posible.,a veces es solo cuestión de plazos inadecuados</t>
  </si>
  <si>
    <t>ShortFuse 🇻</t>
  </si>
  <si>
    <t>Que @Albert_Rivera no de ese paso al vacío. RT @Miotroyo2parte: Los votantes de @CiudadanosCs no son como los podemitas, unos sectarios a los que les da igual lo que hagan o digan sus amos. Así que como gobiernen en Andalucía con el apoyo del @PSOE y la abstención de @ahorapodemos, desaparecerán en cuatro años. Al tiempo.</t>
  </si>
  <si>
    <t>https://twitter.com/Miotroyo2parte/status/1070027957551423488</t>
  </si>
  <si>
    <t>https://pbs.twimg.com/media/DtmAwNHX4AEQQ8d.jpg</t>
  </si>
  <si>
    <t>Caracas - Venezuela</t>
  </si>
  <si>
    <t>Anticomunista en defensa propia. No se ría que esto es serio, no llore que no vale la pena, no se deprima que es peor.</t>
  </si>
  <si>
    <t>FAKE NEWS.</t>
  </si>
  <si>
    <t>¿Y con este atarbán planean pactar tanto @pablocasado_ como @Albert_Rivera? Ciudadanos y el PP no tienen ninguna delicadeza en mostrar su verdadera imagen. RT @FSerranoCastro: Contra la violencia tolerancia cero. Siempre? No hombre,no,depende de quien sea el violento Las feminazis psicópatas de género no cuentan</t>
  </si>
  <si>
    <t>https://twitter.com/FSerranoCastro/status/611649146899054592</t>
  </si>
  <si>
    <t>Bacatá</t>
  </si>
  <si>
    <t>Castrochavista e ideólogo de género, también sé hacer arroz. Todo personal.</t>
  </si>
  <si>
    <t>Javi Cádiz</t>
  </si>
  <si>
    <t>Para @pablocasado_ y @Albert_Rivera Dice la ULTRADERECHA: "o pensiones o autonomías, o becas para estudiantes o autonomías, o impuestos bajos o autonomías, fuera autonomías". De un plumazo eliminar el título VIII. Estos sí son peligrosos. #España #Vox #PP #40constitucion</t>
  </si>
  <si>
    <t>Periodista y geógrafo</t>
  </si>
  <si>
    <t>http://poruncadizmejor.blogspot.com.es</t>
  </si>
  <si>
    <t>Estre</t>
  </si>
  <si>
    <t>Pues si agradeces tanto... No la cagues!!! Gobierno en Andalucia con el PSOE????? Tú tampoco has entendido que los que hemos ido a votar ya no queremos la izquierda en Andalucia???? @Albert_Rivera haz bien los deberes que sino en las generales lo pagarás en votos. RT @Albert_Rivera: 🎥 No me canso de dar las gracias a todos los andaluces que han apoyado un cambio histórico para su tierra. Nos decían que era imposible pero después de casi 40 años vamos a desalojar al PSOE de la Junta para liderar un nuevo gobierno con nuevas personas y nuevas políticas.</t>
  </si>
  <si>
    <t>Algún lugar del mundo</t>
  </si>
  <si>
    <t>Sé que soy inteligente, porque sé que no sé nada. (Sócrates) ⛔No multimenciones ⛔</t>
  </si>
  <si>
    <t>Es oficial: no volveré a votar a @CiudadanosCs Yuxtaponer a @vox_es y a @ahorapodemos es inaceptable para mi psiqué y valores. No me gusta Vox, pero no son la subgente que son un @ierrejon o un @pnique Bye bye @Albert_Rivera @hermanntertsch @vicentelozano @cayetanaAT</t>
  </si>
  <si>
    <t>Pablo Galán García</t>
  </si>
  <si>
    <t>Señores @Albert_Rivera y @pablocasado_ ¿Dónde quedó aquello de que “Debe gobernar la lista más votada”?</t>
  </si>
  <si>
    <t>Ansel</t>
  </si>
  <si>
    <t>Quiero que Albert Rivera, Pablo Casado y Santiago Abascal (sobre todo Abascal) prometan, firmen, que no van a indultar a los de la manada.</t>
  </si>
  <si>
    <t>Valencia - Soria</t>
  </si>
  <si>
    <t>Dormilón profesional, loco de la música, librepensador y fallero. Campanero de Valencia, Levantinista. Enamorado de Soria. Siempre @LevanteUD y @cdnumancia.</t>
  </si>
  <si>
    <t>http://Instagram.com/noquemecanso</t>
  </si>
  <si>
    <t>Socialdemócrata (por tanto, no del PSOE), no independentista. Esperando el advenimiento de satán Rivera. No #LETntos o #REDtarded. Insultos = Silencio | Bloqueo</t>
  </si>
  <si>
    <t>Más influyentes ahora en Derecha/Centro Dcha.: ➀ @Santi_ABASCAL ↓ ➁ @ldpsincomplejos ↓ ➂ @Lamismamente ↑ ➃ @Miotroyo2parte ↓ ➄ @Albert_Rivera ↑ ➅ @AntonioRNaranjo ↑ ➆ @WillyTolerdoo ↓ ➇ @EdurneUriarte ↓ ➉ @ivanedlm ↑</t>
  </si>
  <si>
    <t>http://ver.20m.es/paddp1</t>
  </si>
  <si>
    <t>👉🏻 @Albert_Rivera "Presentaremos nuestra candidatura a la presidencia, vamos a gobernar y a echar al PSOE de la Junta" 🗞️</t>
  </si>
  <si>
    <t>https://www.ciudadanos-cs.org/prensa/albert-rivera-presentaremos-nuestra-candidatura-a-la-presidencia-vamos-a-gobernar-y-a-echar-al-psoe-de-la-junta/11139</t>
  </si>
  <si>
    <t>https://pbs.twimg.com/media/DtlaFLPW4AYOZnz.jpg</t>
  </si>
  <si>
    <t>AlwaysAscending</t>
  </si>
  <si>
    <t>Jaja. Aquí tienen ustedes la careta progre de Ciudadanos. El proyecto naranja de @Albert_Rivera y de @InesArrimadas es ya un juguete roto. RT @manuelvalls: La extrema derecha ha emergido en España. Ahora más que nunca es el momento de la responsabilidad y de recuperar el centro político. Pactos inteligentes, moderados y con sentido común, por el futuro de #España y de #Europa.</t>
  </si>
  <si>
    <t>http://dlvr.it/QstNbj</t>
  </si>
  <si>
    <t>https://pbs.twimg.com/media/Dtp3iHwVAAAXm7y.jpg</t>
  </si>
  <si>
    <t>Mallorca + Pirineos + Alpes</t>
  </si>
  <si>
    <t>El mundo quiere vivir en la cima de la montaña,sin saber que la felicidad está en la forma de subirla.</t>
  </si>
  <si>
    <t>http://www.3404metros.com</t>
  </si>
  <si>
    <t>El líder de Ciudadanos, @Albert_Rivera, quiere presidir Andalucía siendo la tercera fuerza política, pero le parece mal que Pedro Sánchez sea Presidente de España siendo la segunda fuerza en el Congreso. Cínico.</t>
  </si>
  <si>
    <t>http://dlvr.it/QstNYt</t>
  </si>
  <si>
    <t>https://pbs.twimg.com/media/Dtp3h5-U4AEnbX4.jpg</t>
  </si>
  <si>
    <t>La única manera de limpiar la corrupción en Andalucia es dejando al PSOE fuera. Hacer una investigación independiente y miles de auditorias. @Albert_Rivera @InesArrimadas @Santi_ABASCAL @FJL_EsRadi @FJL_EsRadio @Ortega_Smith @pablocasado viva VOX.</t>
  </si>
  <si>
    <t>Miguel - Libertad, igualdad, fraternidad</t>
  </si>
  <si>
    <t>¿Van a pactar @Albert_Rivera y @CiudadanosCs con los amigos del Ku Klux Klan? ¿Estarían los liberales europeos y @EmmanuelMacron de acuerdo con entregarse a los ultraderechistas homófobos, xenófobos y misóginos de @vox_es ?Deberían aclararlo y poner las cartas sobre la mesa.</t>
  </si>
  <si>
    <t>Abogado y economista</t>
  </si>
  <si>
    <t>Está todo todavía muy abierto. La apuesta catalanista de @CiudadanosCs se juega en el ajedrez europeo, donde @manuelvalls es el triunfo que puede abatir la diplomacia de @KRLS y @QuimTorraiPla. Valls ya ha hecho saber que o @Albert_Rivera impide maridajes con @vox_es, o él se va</t>
  </si>
  <si>
    <t>https://pbs.twimg.com/media/Dtl_MAEW4AA1l2u.jpg</t>
  </si>
  <si>
    <t>Sara de Diego Hdez</t>
  </si>
  <si>
    <t>Albert Rivera quiere que gobierne Juan Marín. A ver cómo explica que quiere hacerlo con 21 de 109 escaños cuando sostiene la tesis de que es inviable que lo haga Sánchez con 85 de 350</t>
  </si>
  <si>
    <t>Periodista. Trabajadora y educadora social. Me quejo mucho, sí. Este es el sitio de mi recreo</t>
  </si>
  <si>
    <t>Álex Dorado Nájera 🇪🇺</t>
  </si>
  <si>
    <t>Hey @Albert_Rivera. @manuelvalls tiene un mensaje para ti: RT @manuelvalls: La extrema derecha ha emergido en España. Ahora más que nunca es el momento de la responsabilidad y de recuperar el centro político. Pactos inteligentes, moderados y con sentido común, por el futuro de #España y de #Europa.</t>
  </si>
  <si>
    <t>Relaciones Internacionales, Unión Europea en @esc_espana . También Biólogo por @unicomplutense . Mis opiniones son solo mías. 🇪🇸 🇫🇷 🇬🇧 🇧🇷</t>
  </si>
  <si>
    <t>Antonio #AhoraMadrid</t>
  </si>
  <si>
    <t>Albert Rivera no descarta pactar con la ultraderecha para coger el sillón de la Junta de Andalucía...el cambio y la regeneración sensata.</t>
  </si>
  <si>
    <t>Jose A. Cueto 🇪🇸🇧🇪</t>
  </si>
  <si>
    <t>Si las casas de apuestas se multiplican es que alguien les da los permisos necesarios para abrir y... ¿Cómo tributan? @Pablo_Iglesias_ @pnique @Albert_Rivera @pablocasado_ #casasdeApuestas #ludopatía</t>
  </si>
  <si>
    <t>Madrileño, Alpinista, Republicano, cuido a l@s mi@s y me cuidan, lucho por transformar este sistema por otro justo y solidario (Tetuan) #Podemos ✊✌️</t>
  </si>
  <si>
    <t>Habla Albert Rivera diciendo que ellos quieren gobernar en Andalucía y no veas el teléfono de afiliados de Vox no deja de sonar!!!!</t>
  </si>
  <si>
    <t>Woluwe-Saint-Lambert, Belgique</t>
  </si>
  <si>
    <t>Le jour où on mettra les cons en orbite, beaucoup ne seront pas prêts de s'arrêter de tourner (M.Audiard)</t>
  </si>
  <si>
    <t>ANEU A CAGAR A LA VIA</t>
  </si>
  <si>
    <t>Monedero padre, el fan 'número 1' de VOX que cree que con Franco se vivía mejor @Pablo_Iglesias_ @pnique @sanchezcastejon @MonederoJC @Albert_Rivera @pablocasado_ @Santi_ABASCAL @gabrielrufian @QuimTorraiPla @susanadiaz @tv3cat @RaholaOficial</t>
  </si>
  <si>
    <t>Ale</t>
  </si>
  <si>
    <t>Si @CiudadanosCs hace semejante barbaridad , adiós @Albert_Rivera adiós 👋 RT @LadyPotorro: ¿C's se está planteando pactar con el PSOE? Hasta luego, Ciudadanos, cierre la puerta al salir.</t>
  </si>
  <si>
    <t>Ante la pregunta de gobernar con VOX dice Albert Rivera "No hay que descartar ningún escenario". Y eso que firmó un manifiesto contra la extrema derecha, Salvini, Le Pen... #TiempoPactosARV</t>
  </si>
  <si>
    <t>https://twitter.com/ladypotorro/status/1069894541505937408</t>
  </si>
  <si>
    <t>EFEnoticias España</t>
  </si>
  <si>
    <t>Albert Rivera dice que sería una irresponsabilidad "ponerse a descartar todos los escenarios" de pacto en Andalucía, incluido Vox</t>
  </si>
  <si>
    <t>#España Arrimadas condena el escrache a Valls y advierte: 'Quien utiliza la violencia para intimidar a quien no piensa como él está atacando a la democracia' @Albert_Rivera @CiudadanosCs</t>
  </si>
  <si>
    <t>Toda la actualidad informativa de España, cuenta oficial para España de @EFEnoticias Otros perfiles en http://bit.ly/AgenciaEFE</t>
  </si>
  <si>
    <t>http://www.lacerca.com/noticias/espana/arrimadas-escrache-valls-utiliza-intimidar-piensa-atacando-democracia-447934-1.html</t>
  </si>
  <si>
    <t>http://www.efe.com/</t>
  </si>
  <si>
    <t>Gabilondo culpa al procés de la irrupción de Vox: "Ha sacado a la superficie ideas que creíamos superadas. Culpa de la ultra derecha catalana @gabrielrufian @KRLS @QuimTorraiPla @sanchezcastejon @Albert_Rivera @pnique @pablocasado_ @miqueliceta @InesArrimadas @tv3cat</t>
  </si>
  <si>
    <t>Emilio Ordiz</t>
  </si>
  <si>
    <t>Asturias - Madrid</t>
  </si>
  <si>
    <t>Periodista en @20m. Sigo la actualidad de PP y Ciudadanos. Especializado en Unión Europea. Del Sporting. A veces en @DiarioSpiker</t>
  </si>
  <si>
    <t>https://www.linkedin.com/in/emilio-ordiz-504b72136/</t>
  </si>
  <si>
    <t>El Otro Puchi</t>
  </si>
  <si>
    <t>No eres de fiar @Albert_Rivera Eres un izquierdista más Tu verás pero si empiezas así mal le va a ir a tu partido Si. Tu eres de izquierdas pero tus votantes de derechas y aún no te has enterado</t>
  </si>
  <si>
    <t>https://pbs.twimg.com/media/Dtl1Ac8XcAA3Kc8.jpg</t>
  </si>
  <si>
    <t>RochSeaside 🦝</t>
  </si>
  <si>
    <t>Más adicta al DBD que Albert Rivera a la nieve 💀🔪</t>
  </si>
  <si>
    <t>http://twitch.tv/rochseaside</t>
  </si>
  <si>
    <t>Plasencia, España</t>
  </si>
  <si>
    <t>Lo que es virtual es virtual. No real No lo olvides para evitar Afectos indeseados The End.</t>
  </si>
  <si>
    <t>En mi iglú</t>
  </si>
  <si>
    <t>Affiliate Twitch Streamer y estudiante de Historia del Arte. 24. Podría ser mejor, pero es lo que hay. 🔥 http://instagram.com/rochseasidee rochseaside@gmail.com⭐️🦝</t>
  </si>
  <si>
    <t>#EnDirecto | Rivera insiste en que Juan Marín sea presidente de Andalucía para lo que quiere llegar a un acuerdo con el PP y espera que el PSOE no bloquee la investidura</t>
  </si>
  <si>
    <t>JPM99</t>
  </si>
  <si>
    <t>https://www.europapress.es/temas/albert-rivera/</t>
  </si>
  <si>
    <t>Sabes quién es este señor? @Albert_Rivera, es el ex líder del Ku Kux Klan, piensa bien que hacer. RT @DrDavidDuke: 🔴🗳️ VOX triumphs in Andalusia! 12 seats and the end of the socialist regime 🇪🇸 #EspañaViva makes it history and shows that change is possible. The Reconquista begins in the Andalusian lands and will be extended in the rest of Spain 📣 #AndalucíaPorEspaña</t>
  </si>
  <si>
    <t>https://pbs.twimg.com/media/DtpzWJ3W0AAMLZs.jpg</t>
  </si>
  <si>
    <t>https://twitter.com/DrDavidDuke/status/1069370522000130049
https://twitter.com/voxnoticias_es/status/1069342275048742912</t>
  </si>
  <si>
    <t>Escribo idioteces.</t>
  </si>
  <si>
    <t>Dice a Albert Rivera que a Cs no lo van a encontrar en la confrontación entre españoles!!!!!!</t>
  </si>
  <si>
    <t>Pacolf Lennon</t>
  </si>
  <si>
    <t>Buenas tardes, @Albert_Rivera Veleta Naranja. En qué dirección sopla el viento hoy?</t>
  </si>
  <si>
    <t>Península Ibérica</t>
  </si>
  <si>
    <t>Cosas veredes, amigo Sancho, que harán fablar a las piedras.</t>
  </si>
  <si>
    <t>#Prusesista en #Tabarnia</t>
  </si>
  <si>
    <t>Tiene pelotas que sean un catalán y un vasco los que más estén tocando los cojones a los proetarras, separatistas y demás calaña. @Albert_Rivera no hagas cábalas y pacta con @Santi_ABASCAL. Los españoles están hasta los cojones del progresismo, no caigas en esa mierda.</t>
  </si>
  <si>
    <t>Tabàrnia</t>
  </si>
  <si>
    <t>El #prusesismo es mi credo. También creo en la homeopatía y me alimento de leche cruda. Mi orgasmo es una DUI de 8 sg. ¡Los tractores dominarán el mundo!</t>
  </si>
  <si>
    <t>Albert Rivera: "Mi prioridad es el PP" | Sigue en directo la comparecencia del presidente de Ciudadanos 👉</t>
  </si>
  <si>
    <t>Alexandre Hurtado</t>
  </si>
  <si>
    <t>Ahora negad que VOX es extrema derecha fascista @CiudadanosCs @Albert_Rivera @pablocasado_ @PPopular Porque el Ku Klux Klan sólo son cuatro exaltados independientes no? RT @el_pais: DIRECTO | Un exlíder del Ku Klux Klan felicita a Vox por su resultado en Andalucía. David Duke, un conocido supremacista blanco, participó en los disturbios racistas de Charlottesville el pasado año</t>
  </si>
  <si>
    <t>http://csur.red/q3Rs50jRMRL</t>
  </si>
  <si>
    <t>https://pbs.twimg.com/media/DtpzrQJW4AE1b2g.jpg</t>
  </si>
  <si>
    <t>https://twitter.com/el_pais/status/1069961043080871936
http://cort.as/-ChWW
https://twitter.com/DrDavidDuke/status/1069370522000130049</t>
  </si>
  <si>
    <t>Junior Nuke Compositor. Colorist (Resolve / Baselight) Asistente de Posproduccion en @ymagisspain. Poseedor de un disfraz de T-Rex 🦖</t>
  </si>
  <si>
    <t>https://vimeo.com/213242934</t>
  </si>
  <si>
    <t>Alessa P Russo</t>
  </si>
  <si>
    <t>#AndaluciaAntifascista Si Ciudadanos abre la puerta a que el PSOE y Susana siga gobernando, España le cerrará las puertas a @CiudadanosCs en las generales. Si hablamos de corrupción @Albert_Rivera El PSOE gana por goleada</t>
  </si>
  <si>
    <t>Italia</t>
  </si>
  <si>
    <t>Fan de #ElBarco, #TheHungerGames, #DowntonAbbey,#TheSecretCircle, #Sherlock, #HarryPotter, #LosProtegidos, #IreneMontalá ♥Española-Catalana</t>
  </si>
  <si>
    <t>Angel Berruezo</t>
  </si>
  <si>
    <t>Pero en Francia no van @Albiol_XG ni @Albert_Rivera a felicitar y jalear a los agresores como hicieron en Pineda y Calella?. Pues sí que somos distintos de los franceses!!! RT @AndreMoreauL: Cuerpo de bomberos le da la espalda a las autoridades en una ceremonia oficial. Algo muy grande se está incubando en Francia.</t>
  </si>
  <si>
    <t>https://twitter.com/AndreMoreauL/status/1069654464594960385</t>
  </si>
  <si>
    <t>pic.twitter.com/gBLwW44vgd</t>
  </si>
  <si>
    <t>Barcelona - Catalunya</t>
  </si>
  <si>
    <t>Si vas a una competición y no piensas en ganar, ya has perdido. Residencia Blume BCN 1979</t>
  </si>
  <si>
    <t>Encarni</t>
  </si>
  <si>
    <t>Albert Rivera dice que va a negociar con PP y no con PSOE. Muy bien, así se empieza a cambiar porque lo contrario sería un suicidio para ellos.</t>
  </si>
  <si>
    <t>Torredelcampo, Jaén</t>
  </si>
  <si>
    <t>Yo solo sé que no sé nada.</t>
  </si>
  <si>
    <t>Cambiad ya este discurso @Albert_Rivera o perdéis la hegemonía del constitucionalismo en Cataluña</t>
  </si>
  <si>
    <t>https://www.libertaddigital.com/espana/2018-12-04/grupos-separatistas-revientan-un-acto-de-manuel-valls-en-barcelona-1276629339/</t>
  </si>
  <si>
    <t>mo'better</t>
  </si>
  <si>
    <t>¡ANDA! Parece que fuera de aquí (UE, EE.UU...) y de la intoxicación/manipulación de medios afines a intereses muy reconocibles, resulta que los peligrosos son @PPopular @pablocasado_ @CiudadanosCs @Albert_Rivera y VOX y NO @ahorapodemos al que se ve como REGENERACIÓN del sistema.</t>
  </si>
  <si>
    <t>El pensamiento nos hará libres...</t>
  </si>
  <si>
    <t>maría valle</t>
  </si>
  <si>
    <t>Una fecha importante 👉40 aniversario de nuestra Carta Magna: la Constitución. Ven a celebrarlo con @Albert_Rivera, @InesArrimadas y @manuelvalls 📅 Día 5 de diciembre ⏰19.00 h 📍Conservatorio Liceo de Barcelona. #40añosdeConstitución</t>
  </si>
  <si>
    <t>https://pbs.twimg.com/media/DtltJlGXgAA3SQj.jpg</t>
  </si>
  <si>
    <t>cerdanyola del Valles</t>
  </si>
  <si>
    <t>Abogada. Diputada de Cs al Parlament de Catalunya. Comisión justicia, interior y sindic.cuentas. Vicepresidenta comisión Síndic Greuges.</t>
  </si>
  <si>
    <t>Renovación Política</t>
  </si>
  <si>
    <t>Uribe impuso su voluntad por encima de candidatos con experiencia como @RafaNietoLoaiza y @OIZuluaga Tratar de copiar a @Albert_Rivera y @EmmanuelMacron no caló. Rivera y Macron sí están preparados para gobernar. La inexperiencia se ve en cada gesto. RT @MabelLaraNews: En caída libre: las encuestas siguen castigando a Duque</t>
  </si>
  <si>
    <t>https://twitter.com/MabelLaraNews/status/1069929706470944769
https://www.semana.com//nacion/articulo/68-de-los-colombianos-desaprueba-a-duque-segun-encuesta-datexco/593330</t>
  </si>
  <si>
    <t>@NGeneraciones Valle del Cauca Cuenta oficial @soyconservador</t>
  </si>
  <si>
    <t>http://www.partidoconservador.com</t>
  </si>
  <si>
    <t>Alonso de Cera</t>
  </si>
  <si>
    <t>A ver @Albert_Rivera o te vas desmarcando de la ideología de género o te vas a enterar en las europeas y generales. Arregla las cosas con tus jefes y explica que la ideología de género no se puede imponer en España. Que ya estáis enseñando la patita en Andalucia.</t>
  </si>
  <si>
    <t>A Albert Rivera le acaba de dar un ataque en la tele. Dice que tienen experiencia en pactos de gobierno y que ahora quieren encabezar un gobierno. Pues muy bien, para eso lo único que hay que hacer es quedar tercero. Y pactar con Vox.</t>
  </si>
  <si>
    <t>De cortina de humo en cortina de humo.</t>
  </si>
  <si>
    <t>LAHORADELPATIO</t>
  </si>
  <si>
    <t>Parecidos en @FamilyGuyonFOX con @CiudadanosCs y @PPopular , ¿qué está pasando? @Albert_Rivera @pablocasado_</t>
  </si>
  <si>
    <t>https://pbs.twimg.com/media/DtloSwWW0AEWRg2.jpg</t>
  </si>
  <si>
    <t>Desconocido</t>
  </si>
  <si>
    <t>Análisis político</t>
  </si>
  <si>
    <t>PI</t>
  </si>
  <si>
    <t>Osea que @begonavillacis lo tiene muy claro, ahora que se lo explique a @Albert_Rivera RT @juantorreslopez: Villacís dice que “hay que respetar” a Vox en la misma entrevista en la que califica el partido de Carmena de “totalitario”</t>
  </si>
  <si>
    <t>https://twitter.com/juantorreslopez/status/1069999969539641344
https://www.publico.es/tremending/2018/12/04/villacis-dice-que-hay-que-respetar-a-vox-en-la-misma-entrevista-en-la-que-califica-el-partido-de-carmena-de-totalitario/</t>
  </si>
  <si>
    <t>The dark side of the moon</t>
  </si>
  <si>
    <t>El sarcasmo, mi oscuro pasajero.</t>
  </si>
  <si>
    <t>Drjulian🇪🇸</t>
  </si>
  <si>
    <t>Escuchen los votantes de @CiudadanosCs por si @Albert_Rivera les pregunta si prefieren a Jesús o a Barrabás. También para que vean que hay un discurso coherente y razonable en el entorno de Vox y porqué no, les voten en las generales en lugar de votar la 2a marca de PSOE. RT @JOSEMANUELSOTO1: Reflexiones del día después del sunami andaluz...</t>
  </si>
  <si>
    <t>https://twitter.com/JOSEMANUELSOTO1/status/1069558086392778752</t>
  </si>
  <si>
    <t>pic.twitter.com/4QUera3O7L</t>
  </si>
  <si>
    <t>El Mig Amic - Inside</t>
  </si>
  <si>
    <t>Sres. @JuanMarin_Cs y @Albert_Rivera de @CiudadanosCs y @Cs_Andalucia ¿Saben la cantidad de empresas, inversiones y proyectos en Andalucia que están a la espera de ver cuando ponen ustedes el huevo, y lo mas importante, donde lo ponen? Mantener o acompañarse del PSOE será error.</t>
  </si>
  <si>
    <t>Jaén, España</t>
  </si>
  <si>
    <t>No veas solo la paja en ojo ajeno.</t>
  </si>
  <si>
    <t>Emg</t>
  </si>
  <si>
    <t>Normal q se haya hecho "viral" si tenemos suerte se la leerán @Albert_Rivera @JuanMarin_Cs y sabrán muy bien q es lo q piden incluso los votantes d izquierda. #FelizMartes</t>
  </si>
  <si>
    <t>Antonio García Barón</t>
  </si>
  <si>
    <t>Albert Rivera no envejece. Yo lo veo hoy igual que hace 5, 6, 7, 8 años...</t>
  </si>
  <si>
    <t>https://www.20minutos.es/noticia/3508831/0/carta-viral-abierta-andaluz-medico-pablo-iglesias-cuando-usted-predica-pobreza-pero-compra-chale-nace-fascista-elecciones-andalucia-2018-podemos-vox/</t>
  </si>
  <si>
    <t>Granada, Andalucía</t>
  </si>
  <si>
    <t>Deseando que haya justicia, y los corruptos a la cárcel!!</t>
  </si>
  <si>
    <t>Albert Rivera @CiudadanosCs dice que hace falta cambio en Andalucía, ¿de la mano de VOX?! Re crazy!</t>
  </si>
  <si>
    <t>Isguro</t>
  </si>
  <si>
    <t>Si despues de todas las celebraciones por sacar a @psoedeandalucia de la Junta llega @JuanMarin_Cs y pacta con ellos,ya pueden olvidarse de que se vuelva a confiar en @CiudadanosCs . Si quiere poder hacer algo en las generales mejor q @Albert_Rivera controle a su candidato</t>
  </si>
  <si>
    <t>Ni blanco ni negro,ni derechas ni izquierdas,ni flamenco ni regueton. No a los extremos. Aviación,conducir, un poquito de WOW y mis bichos. Y ella,siempre ella.</t>
  </si>
  <si>
    <t>A.</t>
  </si>
  <si>
    <t>#40AñosDeConstitución Querido Albert Rivera: Te presté mi voto durante unas cuantas elecciones. Ha llegado el momento de que me lo devuelvas. Que te vaya muy bien. Un saludo.</t>
  </si>
  <si>
    <t>La metedura de pata de @Albert_Rivera y @CiutadansCs con @manuelvalls va a dejar pequeño el acuerdo con Libertas. RT @ldpsincomplejos: Confirmado. Este tío está pirao. La castaña que se va a meter Ciudadanos en las municipales de Barcelona va a ser antológica: "Grupos separatistas revientan un acto de Valls en Barcelona y éste vuelve a tachar a VOX de fascista"  vía @libertaddigital</t>
  </si>
  <si>
    <t>Barcelona. España.</t>
  </si>
  <si>
    <t>Sin comentarios. Parodia.</t>
  </si>
  <si>
    <t>https://twitter.com/ldpsincomplejos/status/1069950443466444800
https://www.libertaddigital.com/espana/2018-12-04/grupos-separatistas-revientan-un-acto-de-manuel-valls-en-barcelona-1276629339/</t>
  </si>
  <si>
    <t>La república vacía el sueño de los progrés españoles? @CasaReal @Pablo_Iglesias_ @pablocasado_ @Albert_Rivera @sanchezcastejon @UEmadrid</t>
  </si>
  <si>
    <t>https://blogs.elconfidencial.com/espana/tribuna/2018-12-04/republica-vacia_1683730/?utm_source=twitter&amp;utm_medium=social&amp;utm_campaign=BotoneraWeb</t>
  </si>
  <si>
    <t>A. de Mora</t>
  </si>
  <si>
    <t>Albert Rivera no cierra la puerta a pactar con el PSOE si ellos van a la presidencia, pero tampoco con el PP y VOX.</t>
  </si>
  <si>
    <t>Elche de la Sierra // Albacete</t>
  </si>
  <si>
    <t>Es Antonino, no Antonio.</t>
  </si>
  <si>
    <t>http://www.losmomentosalpedo.com</t>
  </si>
  <si>
    <t>Ricardo Gonzi</t>
  </si>
  <si>
    <t>Ningún votante de @CiudadanosCs en Andalucía entenderá que @Albert_Rivera prefiera pactar con #PSOE para investir a Marín. Por qué enredar tras la derrota histórica de los socialistas en Andalucía, cuando lo evidente es que pacten los que prometieron echarlos.</t>
  </si>
  <si>
    <t>México</t>
  </si>
  <si>
    <t>Me gusta la política, la filosofía, el arte, pero sobre todo desenmascarar al mentiroso.</t>
  </si>
  <si>
    <t>Carmelo Di Fazio</t>
  </si>
  <si>
    <t>Gracias miles a la cadena de librerías más importantes de Venezuela. Muy cierto su comentario, el cual se evidencia en Venezuela y en la España de hoy luego de la intolerancia contra @vox_es @Santi_ABASCAL @CiudadanosCs @Albert_Rivera @InesArrimadas @ToucanInsights @PPopular RT @tecniciencia: El marica es una novela que encierra un profundo canto a la libertad,una advertencia acerca de lo que el veneno de la intolerancia puede empujarnos a cometer. El autor venezolano @carmelodifazio nos adentra con maestría en una historia cruenta y vengativa.</t>
  </si>
  <si>
    <t>https://twitter.com/tecniciencia/status/1069989299385442304
https://bit.ly/2HCb5CK</t>
  </si>
  <si>
    <t>https://pbs.twimg.com/media/DtlaMFaWoAAhPP1.jpg</t>
  </si>
  <si>
    <t>Miami Fl</t>
  </si>
  <si>
    <t>Escritor, publicista, conocedor de mercadeo, asesor de medios, muy soñador, lleno de fe. Celebrando el éxito de mis 4 libros. publicidadcdifazio@gmail.com</t>
  </si>
  <si>
    <t>https://www.facebook.com/carmelodifazioescritor/</t>
  </si>
  <si>
    <t>Articulo 18 del Codigo Penañ @vox_es @Santi_ABASCAL @PSOE @CiudadanosCs @PPopular @sanchezcastejon @fiscal_es @Albert_Rivera @pablocasado_ RT @Andy66Warhol: ¿A qué espera la Fiscalía General del Estado para actuar contra el coletas @Pablo_Iglesias_ por los delitos de incitación al odio y a la violencia y por desórdenes públicos previstos y tipificados en el Código Penal? ¡¡¡Actuación ya!!! #imputaciondelitoscoletas</t>
  </si>
  <si>
    <t>Aitor Riveiro</t>
  </si>
  <si>
    <t>Dice Albert Rivera que el secretario general, José Manuel Villegas, será el que comande las negociaciones para que Juan Marín intente ser el futuro presidente de la Junta de Andalucía</t>
  </si>
  <si>
    <t>https://twitter.com/andy66warhol/status/1069988959063826433</t>
  </si>
  <si>
    <t>Periodista a pesar de todo en @eldiarioes. Desaprendí casi todo lo que sé en El País. He escrito un libro sobre Podemos y sigo vivo http://libros.com/comprar/el-cie…</t>
  </si>
  <si>
    <t>https://t.me/AitorRiveiro</t>
  </si>
  <si>
    <t>«Vamos a ejecutar el cambio» amenaza Albert Rivera.</t>
  </si>
  <si>
    <t>PPF</t>
  </si>
  <si>
    <t>Que espere Juan Carlos, no es bueno adelantarse, menos cuando @Albert_Rivera desea pactar con PSOE es decir mantener el cortijo de Susy ahora con una alianza no con @vox_es sino con la extrema izquierda podemita, vamos con CumFraude hundiendo al PSOE y el naranjito a vosotros. RT @CiudadanosCs: 🗞 Hoy @GirautaOficial ha escrito una tribuna sobre Andalucía tras los resultados de las elecciones. 🗣 "Demasiado polvo bajo las alfombras y sobre las alfombras. Y el incumplimiento de los pactos de regeneración". 📲 ¡Léelo en !</t>
  </si>
  <si>
    <t>https://twitter.com/CiudadanosCs/status/1069881170253541376
https://www.elespanol.com/opinion/columnas/20181204/fin-regimen/358094190_13.html</t>
  </si>
  <si>
    <t>https://pbs.twimg.com/media/Dtj7LT9WkAAg8_z.jpg</t>
  </si>
  <si>
    <t>Están empeñados en que Marín sea el presidente y Marín es un chaquetero estuvo en PSOE en el pp y ahora en ciudadanos otro como Albert Rivera sin ideología política para ellos es un negocio la política no les interesa los andaluces solo la ambición de poder RT @ruthleon80: @MCarmenRiv74 No creo que sea tan tonto...aunque claro con la de vueltas que da, tampoco me extrañaría nada</t>
  </si>
  <si>
    <t>👍No se leen mermaos; ni te molestes en escribirme bloqueo a todo neo-progre, pijo-pepero o perroflauta que es casi lo mismo. PATRIA, ORDEN Y FAMILIA.✋🇪🇸</t>
  </si>
  <si>
    <t>https://twitter.com/ruthleon80/status/1070275358795161600</t>
  </si>
  <si>
    <t>Por favor lideres @Albert_Rivera @pablocasado es hora de #dialogo. Esa es la via #Europea de hacer negocios, no un mensaje nacionalista disfrazado bajo un seudo-liberal mensaje que niega la voluntad de una mayoria de ciudadanos en #Catalunya. Reforma #Constitutional! RT @JunckerEU: Acabo hablar con @sanchezcastejon. Solidaridad, determinación y diálogo son los medios para encontrar soluciones en la Unión Europea.</t>
  </si>
  <si>
    <t>https://twitter.com/JunckerEU/status/1066333090312871941</t>
  </si>
  <si>
    <t>m.angeles</t>
  </si>
  <si>
    <t>El del Ku Klux Klan apoyando a Vox. @CiudadanosCs @Albert_Rivera @InesArrimadas como pactéis con ellos os va a votar vuestra madre.</t>
  </si>
  <si>
    <t>Munia Fdez-Jordán</t>
  </si>
  <si>
    <t>Constitución de 1978: "Es de justicia reivindicarla y defenderla" Albert Rivera. ⚖🏛🇪🇸🧓🏼👩🏻👩🏽‍💼👩🏼‍🎓👨🏻‍💼🇪🇸🏛⚖ Defender y actualizar nuestra Constitución  vía @20m</t>
  </si>
  <si>
    <t>Sant Cugat del Vallés</t>
  </si>
  <si>
    <t>Ciudadana. Abogada. Actualmente diputada en el Parlament Catalunya y concejala en Sant Cugat del Vallés. @Cs_SantCugat @CiutadansCs @CiudadanosCs</t>
  </si>
  <si>
    <t>https://www.facebook.com/ciutadans.santcugat</t>
  </si>
  <si>
    <t>FuTEFbolera | Fencing | Talentum | Potterhead | Feria de Abril adicta | Proyecto de capitana⛵</t>
  </si>
  <si>
    <t>Defender y actualizar nuestra Constitución  | Por Albert_Rivera, presidente de CiudadanosCs</t>
  </si>
  <si>
    <t>Buenas tardes.. La mañana igual como siempre en #AlcaladeHenares. Sigue celebrando el @AytoAlcalaH? Pregunto, solo por saber,si alguien sabe en este #País? @Verde_Way @greenpeace_esp @justiciagob @MinInterior @TC_Esp @sanchezcastejon @pablocasado @Albert_Rivera @Pablo_Iglesias</t>
  </si>
  <si>
    <t>https://pbs.twimg.com/media/DtlXxjKW4AAnWXe.jpg</t>
  </si>
  <si>
    <t>publikaccion</t>
  </si>
  <si>
    <t>ya es temporada de nieve y @Albert_Rivera sonríe</t>
  </si>
  <si>
    <t>donde me sale de los huevos</t>
  </si>
  <si>
    <t>gallego con demasiada poca mala hostia mi madre, que me quiere, dice que no sabe de dónde la habré sacado MECAGON TODO DIOS BIBALREI</t>
  </si>
  <si>
    <t>http://about.me/publikaccion</t>
  </si>
  <si>
    <t>jose antonio</t>
  </si>
  <si>
    <t>Muchos españoles esperan de Albert Rivera que con la banda de la moción de censura, ni agua. De lo contrario lo pagarán muy caro en las generales. RT @okdiario: Iglesias plantea a Ciudadanos que ponga “encima de la mesa” un acuerdo para Andalucía</t>
  </si>
  <si>
    <t>Melilla</t>
  </si>
  <si>
    <t>El ayer es historia, el mañana es un misterio, pero el hoy es un regalo, por eso se llama presente.</t>
  </si>
  <si>
    <t>Adrià Muñoz 🎗</t>
  </si>
  <si>
    <t>Pero a @Albert_Rivera no le queda claro si son extrema derecha porque no es analista político. #posvaleposmoltbéposadiós RT @gerardotc: Mirad, @pablocasado_ y @Albert_Rivera: el líder del Ku Klux Klan durante los años 70 felicita a @vox_es por su resultado en Andalucía. Qué despistado. Debe de pensar que se trata de un partido fascista o algo.</t>
  </si>
  <si>
    <t>LCR</t>
  </si>
  <si>
    <t>Albert Rivera estos meses atras se estaba trabajando" un acuerdo con partidos europeos para crear un frente unico cara a la europeas con macron..etc ..pero estos socios han hecho publico su malestar si rivera oacta con la ultraderecha en andalucia dificil tesitura para rivera</t>
  </si>
  <si>
    <t>https://twitter.com/gerardotc/status/1069888939765448704
https://twitter.com/DrDavidDuke/status/1069370522000130049</t>
  </si>
  <si>
    <t>Jurista y Justo creo en la JUSTICIA LIBRE Y DEMOCRATICA soy ANTIFASCISTA PORQ SOY ESPAÑOL Y DEMOCRATA ❤💛💜al fascismo se le combate y se le derrota .</t>
  </si>
  <si>
    <t>Distrito Federal, México</t>
  </si>
  <si>
    <t>Catalan, citizen of the world and food junkie. Entrepreneur, Youtuber and TV Host @CadenaHTV. Founder and producer of @StickManMediaMX</t>
  </si>
  <si>
    <t>http://about.me/adrianmunoz</t>
  </si>
  <si>
    <t>Lalija</t>
  </si>
  <si>
    <t>Al fin y al cabo, pactar con quien recibe felicitaciones del Ku Kux Klan es un paso pequeño para quien se niega a condenar el franquismo. @pablocasado_ @Albert_Rivera @PPopular @CiudadanosCs</t>
  </si>
  <si>
    <t>El espíritu de los cuerdos no es nunca inflexible. (Homero, La Ilíada.)</t>
  </si>
  <si>
    <t>Que dicen Casado y Rivera que si otros pactan con Podemos, ¿por qué no van poder hacerlo ellos con quienes reciben felicitaciones del Ku Klux Klan? A ver, ¿por qué? @pablocasado_ @Albert_Rivera @PPopular @CiudadanosCs</t>
  </si>
  <si>
    <t>Celia Úbeda Jordá</t>
  </si>
  <si>
    <t>Alicante (España)</t>
  </si>
  <si>
    <t>Licenciada en Ciencias del Trabajo, RR.LL. y RR.HH. Responsable de Ciudadanía y Movilidad en @Cs_SantJoan España será lo que queramos los españoles.</t>
  </si>
  <si>
    <t>Ludópata Rehabilitado</t>
  </si>
  <si>
    <t>Sabemos lo que queremos Cambios a nivel normativo y legal, cambios que los políticos tienen que comprometerse a hacer. No hay ideologías para esta lucha. @Pablo_Iglesias_ @Albert_Rivera @agarzon @pablocasado_ @sanchezcastejon para mí no sois rivales, para mí sois la esperanza.</t>
  </si>
  <si>
    <t>Soy Santiago Caamaño, ludópata rehabilitado buscando concienciar y ayudar a gente con esta enfermedad.</t>
  </si>
  <si>
    <t>Tabera Tabarnia</t>
  </si>
  <si>
    <t>Albert Rivera. Abre los ojos y no te dejes engañar por los ENEMIGOS. dE. ESPAÑA. Pacto sin complejos con VOX, sino Susana seguirá gobernando con Podemos. Acaso no gobiernan los Independentistas con la CUP ? Acaso no gobierna el PSOE con Independentistas, Bildu y Podemos ?</t>
  </si>
  <si>
    <t>Barcelona,Cataluña,España</t>
  </si>
  <si>
    <t>Vota VOX</t>
  </si>
  <si>
    <t>Señor @Pablo_Iglesias_ , señor @Albert_Rivera , señor @pablocasado_ @sanchezcastejon ustedes creen que los @policia nacionales o los @guardiacivil que nos protegen y que han votado a @vox_es son anticonstitucionales? Pensadlo.</t>
  </si>
  <si>
    <t>Somos de Extrema necesidad</t>
  </si>
  <si>
    <t>ISpinola</t>
  </si>
  <si>
    <t>Estoy de acuerdo en muchas de las reformas que propone y con sus argumentos. Añadiría someter a referéndum el Título II de la CE prácticamente al completo y, por ende, el artículo 1.3 de la misma. Defender y actualizar nuestra Constitución  vía @20m</t>
  </si>
  <si>
    <t>Principado de Asturias, España</t>
  </si>
  <si>
    <t>La vida es corta, ¡no te olvides de vivirla! #PuxaAsturias #PuxaSporting. #StopMaltrato animal y de cualquier clase.</t>
  </si>
  <si>
    <t>Desde luego como pacten con PSOE ya se puede ir olvidando de municipales, europeas y nacionales @CiudadanosCs tú verás la prisa que tienes en gobernar @Albert_Rivera RT @CastigadorY: Ciudadanos prioriza el pacto con PP y PSOE para evitar que entre VOX en el gobierno y así darles de lado, que equivocación tan grande de Cs, os equivocáis de enemigo, VOX defiende a este país cómo vosotros o más, os va a salir caro si finalmente lo hacéis.</t>
  </si>
  <si>
    <t>https://twitter.com/CastigadorY/status/1069718434953469952
https://www.elconfidencial.com/elecciones-andalucia/2018-12-03/ejecutiva-ciudadanos-juan-marin-apoyo-pp-psoe_1682750/</t>
  </si>
  <si>
    <t>Frasier</t>
  </si>
  <si>
    <t>Ojo @Albert_Rivera Si pactas con el PSOE despídete de tu carrera política. RT @alonso_dm: Si Rivera quiere una excusa para pactar con VOX, aquí la tiene. Sería una indignidad aceptar la abstención de quienes han dicho las mayores barbaridades de él mientras desprecia al único que le ha defendido.</t>
  </si>
  <si>
    <t>https://twitter.com/alonso_dm/status/1069951671453839360</t>
  </si>
  <si>
    <t>https://pbs.twimg.com/media/Dtk6SIBWsAAgcIZ.jpg</t>
  </si>
  <si>
    <t>El RT hay que ganárselo aunque seas un twitstar.</t>
  </si>
  <si>
    <t>Laura Rodri 🇪🇦🇪🇺♿</t>
  </si>
  <si>
    <t>@Donatelo</t>
  </si>
  <si>
    <t>Si @CiudadanosCs hace algo asi, perdera la credibilidad de muchos votantes que han creido en un cambio, si no lo permite lo pagara en las urnas, yo confio en la sensatez de @Albert_Rivera que le de el gobierno a una derecha votada👌 RT @TeoGarciaEgea: Comienzan a inflar el flotador naranja para que Susana Díaz y el PSOE sigan en el gobierno. No permitamos que Ciudadanos acabe con el sueño de cambiar Andalucía entregando la gobernabilidad a Podemos y PSOE.</t>
  </si>
  <si>
    <t>en el Mundo</t>
  </si>
  <si>
    <t>Soy ciudadana del Mundo, detesto las injusticias, en política no soy ni d derechas ni d izquierdas, busco bienestar d todos ciudadanos. Me gustan bellas artes</t>
  </si>
  <si>
    <t>http://www.p.com</t>
  </si>
  <si>
    <t>https://twitter.com/TeoGarciaEgea/status/1069627015291121667</t>
  </si>
  <si>
    <t>https://pbs.twimg.com/media/DtgUGElWwAAd-uz.jpg</t>
  </si>
  <si>
    <t>Lugo, España</t>
  </si>
  <si>
    <t>colaborando en el bienestar animal. Inconformista por naturaleza</t>
  </si>
  <si>
    <t>Manuel García🇦🇹</t>
  </si>
  <si>
    <t>Te lo dije el domingo cuando aún no había acabado el escrutinio, @PacoLevante. No me fío de @Albert_Rivera @JuanMarin_Cs y @CiudadanosCs RT @PatriotaNene: Andaluces, CIUDADANOS os va a traicionar</t>
  </si>
  <si>
    <t>Julián Viñuales</t>
  </si>
  <si>
    <t>And the Loudest Brainfart of the Chauvinistic Week Award goes to Albert Rivera for: "Estoy dispuesto a no tener credibilidad si es por el bien de España"</t>
  </si>
  <si>
    <t>https://twitter.com/PatriotaNene/status/1069709689208877062</t>
  </si>
  <si>
    <t>https://www.publico.es/politica/albert-rivera-dispuesto-no-credibilidad.html</t>
  </si>
  <si>
    <t>Porque estos hierros y este hormigón no llevan una peseta de Manuel Ruiz de Lopera. ¡LLEVA MI SANGRE! D. Manué, discurso del salvamento bético, enero de 1992.</t>
  </si>
  <si>
    <t>archaeology of sound</t>
  </si>
  <si>
    <t>Con la fuerza de tu mirada</t>
  </si>
  <si>
    <t>Abascal: "Albert Rivera es como un toro manso, no sabes por dónde va a salir"  vía @telecincoes</t>
  </si>
  <si>
    <t>Rosario Contreras</t>
  </si>
  <si>
    <t>El PSOE se desintegra. A ver si desaparece y el okupa convoca elecciones de una vez. Con el apoyo de ciudadanos no tiene bastante. Tendrían q juntarse con podemos tambien y eso le pasaría factura a los naranjas en las próximas votaciones. .@Albert_Rivera</t>
  </si>
  <si>
    <t>https://www.telecinco.es/elprogramadeanarosa/abascal-rivera-toro-manso_2_2670180027.html</t>
  </si>
  <si>
    <t>Aunque el tiempo pase, los corazones nunca olvidan... 🇪🇸</t>
  </si>
  <si>
    <t>https://www.elmundo.es/espana/2018/12/04/5c068878fc6c83a0708b45aa.html</t>
  </si>
  <si>
    <t>Española y olé🇪🇸🇪🇸🌷🌷🌷🌻🌻</t>
  </si>
  <si>
    <t>Avisados estáis @CiudadanosCs @Albert_Rivera RT @aybarrapacheco: Si Ciudadanos cede a la presión de la izquierda y evita el cambio en Andalucía habrá firmado con el incumplimiento de sus promesas su suicidio político. En Andalucía y en España.</t>
  </si>
  <si>
    <t>https://twitter.com/aybarrapacheco/status/1069864197675200512</t>
  </si>
  <si>
    <t>Hoy estamos reunidos en una Ejecutiva nacional extraordinaria para afrontar la negociación del gobierno de la Junta de Andalucía. Los ciudadanos votaron cambio, vamos a por el cambio.</t>
  </si>
  <si>
    <t>Española💯x💯🇪🇸 Madre,💕Amante dl cine, d la música.💘 Anti-Podemos. Madridista❤.+ d derechas q d izquierdas no t gusta no me sigas😛😘😘❤</t>
  </si>
  <si>
    <t>Senta</t>
  </si>
  <si>
    <t>Y asi, señoras y señores, es como se suicida un partido politico @CiudadanosCs @Albert_Rivera No os va a votar ni cristo de ahora en adelante si realmente haceis esto, yo el primero</t>
  </si>
  <si>
    <t>Albert Rivera en VI Escuela de Verano DENAES 2012 🔊 LA CULTURA COMO NEGOCIO,</t>
  </si>
  <si>
    <t>https://youtu.be/V9YYQDqha-Q?azq69=464804527</t>
  </si>
  <si>
    <t>https://pbs.twimg.com/media/DtlLr9ZWkAEYPcD.jpg</t>
  </si>
  <si>
    <t>JUAN JOSE BUSTAMANTE</t>
  </si>
  <si>
    <t>No se si habrás leído algo que te escribí @Albert_Rivera @CiudadanosCs te di mi apoyo igual que millones de españoles, no la cages dando oxígeno al Psoe de Susana, no cometas ese error. Ya has visto lo que quieren los andaluces,</t>
  </si>
  <si>
    <t>Leticia Vélez</t>
  </si>
  <si>
    <t>"El prestigioso diario francés Le Monde ha publicado este martes un duro editorial que supone una seria advertencia a los líderes del PP y de Ciudadanos, Pablo Casado y Albert Rivera respectivamente, por su papel ante la irrupción de Vox en Andalucía."</t>
  </si>
  <si>
    <t>http://a.msn.com/01/es-es/BBQtLvD?ocid=sf</t>
  </si>
  <si>
    <t>Magic Frosty...el Escarchador</t>
  </si>
  <si>
    <t>http://magicfrostyspain.com</t>
  </si>
  <si>
    <t>español de España y seguidor de los tabarneses</t>
  </si>
  <si>
    <t>Manolo.</t>
  </si>
  <si>
    <t>Mucho ojito @CiudadanosCs @Albert_Rivera con lo que haceis, politicamente hablando, en Andalucía. No caigais en tentaciones de gobierno con eres y maduros. Os iriais al carajo. Aviso a navegantes.</t>
  </si>
  <si>
    <t>http://ramblalibre.com/2018/12/05/pedro-j-ramirez-obsesionado-contra-vox-impone-sus-criterios-a-albert-rivera/#.XAe0Gdxa7Ro.twitter</t>
  </si>
  <si>
    <t>Valle del Tiétar (España)</t>
  </si>
  <si>
    <t>Madrileño, Madridista y Español. Orgulloso de vivir en mi Valle. Harto de gilipollas y gilipolleces.</t>
  </si>
  <si>
    <t>Francisco Javier Mar</t>
  </si>
  <si>
    <t>Ojalá se hagan un favor a si mismos y empiecen a limpiar los cajones, armarios y demás basura que se podrán llegar a encontrar después de tantos años de red clientelar @Albert_Rivera @pablocasado_ @vox_es RT @Manuel_M_A: Don Juan Carlos , Don @Albert_Rivera y Don @pablocasado_ .... dejen de mirarse el ombligo. Lo que está sucediendo y tiene que suceder es más importante que @CiudadanosCs o el PP. Como si quieren poner de presidente a Curro Romero. Formen gobierno de una vez y fumiguen</t>
  </si>
  <si>
    <t>Oscar Fernández 🇸🇾 🇷🇺🎗🔻</t>
  </si>
  <si>
    <t>Hola Albert Rivera. ¿No se supone que los de #Chusmapol te iban a votar a ti? Pues te han dejado tirado por que han encontrado a otro aún mas facha que tú, que ya es decir... RT @Ralraune: @_ju1_ Es curioso, en Málaga Vox solo ha quedado primero en un colegio compuesto por un bloque de pisos y un cuartel de la guardia civil con muchas viviendas (en avenida Arroyo de los Ángeles)</t>
  </si>
  <si>
    <t>https://twitter.com/Ralraune/status/1069731547933233152</t>
  </si>
  <si>
    <t>https://pbs.twimg.com/media/DthzK0OX4AAOHL2.jpg</t>
  </si>
  <si>
    <t>https://twitter.com/Manuel_M_A/status/1069962131993436160
https://twitter.com/GirautaOficial/status/1069956232033828864</t>
  </si>
  <si>
    <t>Mánager de cines, sociólogo incompleto, rojo, republicano, celtiña, ciudadano del mundo...y padre. ☭✊</t>
  </si>
  <si>
    <t>http://generalmanki.blogspot.com.es/</t>
  </si>
  <si>
    <t>César</t>
  </si>
  <si>
    <t>No sé porque me da que la relación política entre Manuel Valls y Albert Rivera tiene los días contados. Y Emmanuel Macron tomando nota.  vía @elpais_espana</t>
  </si>
  <si>
    <t>Eh... no he oído la campana. Un asalto más.</t>
  </si>
  <si>
    <t>👉🏻¿Se deben ilegalizar los partidos que afirman no acatar los resultados de las elecciones y llaman a la violencia callejera?  @Tonicanto1 @AntoniCamps @xpericay @gsampolfer @paatri_guerrero @MMContesti @InesArrimadas @Albert_Rivera @Santi_ABASCAL</t>
  </si>
  <si>
    <t>https://www.diaribalear.es/se-deben-ilegalizar-los-partidos-que-afirman-no-acatar-los-resultados-de-las-elecciones-y-llaman-a-la-violencia-callejera/</t>
  </si>
  <si>
    <t>Fuensanta López</t>
  </si>
  <si>
    <t>ALBERT RIVERA, ESPAÑA Y EUROPA Cuando el poder queda a la intemperie y llaman al botín, los partidos se lanzan al reparto como la s... -</t>
  </si>
  <si>
    <t>https://www.cosasdeunabailarina.es/albert-rivera-espana-y-europa/</t>
  </si>
  <si>
    <t>https://pbs.twimg.com/media/DtphrDbWsAAsM1e.jpg</t>
  </si>
  <si>
    <t>Profesora de Danza. Viajera. Amante de las Artes y la Música. Periodismo y Publicidad. Sígue mis noticias en:</t>
  </si>
  <si>
    <t>http://www.cosasdeunabailarina.es</t>
  </si>
  <si>
    <t>📽 @InesArrimadas "Mañana celebraremos un acto en Barcelona para conmemorar los 40 años de la Constitución junto a @Albert_Rivera y @manuelvalls. Los demócratas vamos a defender los valores constitucionales de igualdad, solidaridad, libertad y unión" #Parlament</t>
  </si>
  <si>
    <t>Ahora mismo en el Ibex, VOX cotiza al alza y Ciudadanos a la baja. Albert Rivera perdió su oportunidad. Hizo su trabajo preparando el terreno para la llegada de Abascal, pero ya está amortizado.</t>
  </si>
  <si>
    <t>pic.twitter.com/L8QByddgF8</t>
  </si>
  <si>
    <t>This, señores, this. Como @CiudadanosCs se le ocurra pactar con el @psoe en andalucia que se despidan en todas las elecciones sucesivas en comerse un mierdo en ninguna.@Albert_Rivera toma nota majo RT @LolaCebolla: Si ciudadanos piensa mantener a los mismos de nuevo, que se despida del resto de elecciones para el resto de su vida.</t>
  </si>
  <si>
    <t>https://twitter.com/LolaCebolla/status/1069723862080913408</t>
  </si>
  <si>
    <t>Pablo Gil</t>
  </si>
  <si>
    <t>Qué curioso que @Albert_Rivera quiera que en Andalucía gobierne Ciudadanos con 21 representantes de 109 (el 19%) pero en España ve muy mal que gobierne @sanchezcastejon con 84 diputadxs de 350 (el 24%). Y el PSOE segunda fuerza y ellos tercera...</t>
  </si>
  <si>
    <t>Barcelona i Castelló</t>
  </si>
  <si>
    <t>Castellonenc perdut a Barcelona. Pare de Paula. Done la meua opinió i faig retuit a tot allò que m'agrada. Socialista, republicà i feminista. Amant de la ràdio.</t>
  </si>
  <si>
    <t>Os imagináis a populistas hispánicos @Albert_Rivera @pablocasado_ pactar con Torra que califican de racista? Pues lo si lo harán con en racista, machista, homofobo d #Vox en Andalucía Sin pelis en la lengua pero si en sus neuronas Cuanto➕populista➕tonto</t>
  </si>
  <si>
    <t>https://verne.elpais.com/verne/2018/12/04/articulo/1543918729_325783.html</t>
  </si>
  <si>
    <t>Es que si ciudadanos le da los votos a psoe será su sentencia de muerte política mente siempre dije que Albert Rivera no tiene ideología política es un ambicioso y un veleta cómo el aire deberia de pactar con pp y VOX pero Albert Rivera es un ambicioso como SÁNCHEZ n es de fiar RT @MarleneDiafano: Lo peor que puede hacer C,s es dar los escaños que les dieron los españoles a la extrema izquierda sociata-comunista, la que está apoyado el independentismo Catalán y Vasco, la dictadura Venezolana y Cubana la que está trayendo el odio entre los españoles. Cuidado @Albert_Rivera</t>
  </si>
  <si>
    <t>https://twitter.com/MarleneDiafano/status/1070272531989520384
https://twitter.com/CastigadorY/status/1070009236128784385</t>
  </si>
  <si>
    <t>Clint_is_good</t>
  </si>
  <si>
    <t>Lo llevo diciendo hace un montón y @Albert_Rivera no me hace caso ! 😁 éste tío cuánto antes esté fuera mejor para @CiudadanosCs ... se arrepentirán! RT @ldpsincomplejos: Confirmado. Este tío está pirao. La castaña que se va a meter Ciudadanos en las municipales de Barcelona va a ser antológica: "Grupos separatistas revientan un acto de Valls en Barcelona y éste vuelve a tachar a VOX de fascista"  vía @libertaddigital</t>
  </si>
  <si>
    <t>KO Diario</t>
  </si>
  <si>
    <t>Qué...Ya se han repartido las carteras Albert Rivera, Pablo Casado y Santiago Abascal? Si hombre, ese intercambio de carteras y sillones que tanto criticaban a Pablo Iglesias. ESE. #AbascalAR #EleccionesAndalucía</t>
  </si>
  <si>
    <t>Tocar las narices es un arte.</t>
  </si>
  <si>
    <t>Pais multicolor👧🏿👦🏻👩🏽🧑</t>
  </si>
  <si>
    <t>UN KO AL DÍA...O MÁS. Depende del ambientazo que haya por aquí. Visítanos y síguenos en Facebook https://www.facebook.com/kodiario/</t>
  </si>
  <si>
    <t>https://www.facebook.com/kodiario/</t>
  </si>
  <si>
    <t>https://pbs.twimg.com/media/DtlGfNYWwAYUZXv.png</t>
  </si>
  <si>
    <t>Jesli</t>
  </si>
  <si>
    <t>Que el Ku Klux Klan apoye a un partido político no deja ver nada raro? Eso si, si otro partido se va a un país "comunista" ya son el diablo encarnado @pablocasado_ @Albert_Rivera o sois bobos (con perdón) o sois peor que el propio @vox_es (y ya es difícil eh) Que vergüenza.</t>
  </si>
  <si>
    <t>@hechosdehoy</t>
  </si>
  <si>
    <t>El rol de Susana</t>
  </si>
  <si>
    <t>http://ow.ly/knzH30mS4Y5</t>
  </si>
  <si>
    <t>LGTBIA Republicana❤💛💜 ☮🎗 Radfem Antitaurina Antifa ❀❦30-04-16 cuando te conocí, 17-09-16 cuando te vi, 18.09.16 cuando te dije que si❀❦ Avy Jorrāelan</t>
  </si>
  <si>
    <t>INFORMACIÓN DE VALOR Y ANÁLISIS. Periódico digital dirigido por Juan-Fernando Dorrego Tíktin @juanfernandodt</t>
  </si>
  <si>
    <t>http://www.hechosdehoy.com</t>
  </si>
  <si>
    <t>Angelika Knüppel</t>
  </si>
  <si>
    <t>Podemos cree que Sánchez se inclina por adelantar las elecciones generales a marzo o abril  @Albert_Rivera @CiudadanoVille</t>
  </si>
  <si>
    <t>https://okdiario.com/espana/2018/12/04/podemos-cree-que-sanchez-inclina-adelantar-elecciones-generales-marzo-o-abril-3426685#.XAaQdEG6lHY.twitter</t>
  </si>
  <si>
    <t>Pasión por el periodismo y la actualidad. Viajar, leer, conocer más de un mundo sin fronteras. Trabajo en http://www.hechosdehoy.com</t>
  </si>
  <si>
    <t>Manuel Manzanera</t>
  </si>
  <si>
    <t>Don Juan Carlos , Don @Albert_Rivera y Don @pablocasado_ .... dejen de mirarse el ombligo. Lo que está sucediendo y tiene que suceder es más importante que @CiudadanosCs o el PP. Como si quieren poner de presidente a Curro Romero. Formen gobierno de una vez y fumiguen RT @GirautaOficial: Fin de régimen</t>
  </si>
  <si>
    <t>https://twitter.com/GirautaOficial/status/1069956232033828864
https://www.elespanol.com/opinion/columnas/20181204/fin-regimen/358094190_13.html</t>
  </si>
  <si>
    <t>Padelero, lector, seriéfilo, tecnópata, cinéfilo, bloguero, viajero, empresario en ... y español 🇪🇸</t>
  </si>
  <si>
    <t>http://manuelmanzanera.blogspot.com.es</t>
  </si>
  <si>
    <t>Denuncias</t>
  </si>
  <si>
    <t>Presidente @sanchezcastejon entonces reformamos la @constitucion40 y quitamos la figura del rey no? @CasaReal @PoderJudicialEs . @Albert_Rivera @pablocasado_ @pablocasado_ @gabrielrufian @CiudadanosCs @ahorapodemos @UGT_Comunica @eajpnv @PSOE @PPopular @Senadoesp @susanadiaz</t>
  </si>
  <si>
    <t>Nick Tamura</t>
  </si>
  <si>
    <t>Ojo esto, a ver si los liberales franceses van a tener que darle lecciones de ética a Albert Rivera</t>
  </si>
  <si>
    <t>Este perfil esta destinado a calibrar la balanza(justicia)que es lo que tiene que hacer cada persona en la calle. Antisocial en el infierno.</t>
  </si>
  <si>
    <t>Manchester, UK</t>
  </si>
  <si>
    <t>S’all good, man!</t>
  </si>
  <si>
    <t>http://snickpeek.wordpress.com</t>
  </si>
  <si>
    <t>Rafael Fernández</t>
  </si>
  <si>
    <t>@PPopular @JuanMa_Moreno @JuanMarin_Cs @Albert_Rivera Hola!, Estos son algunos de los amigos, de aquellos que queréis que os apoyen para gobernar la Junta.</t>
  </si>
  <si>
    <t>JUAN JOSE MARTINEZ F</t>
  </si>
  <si>
    <t>Hola: He firmado una petición dirigida a Sr. Albert Rivera que dice: "Al PSOE ni agua, Sr. Rivera" ¿Quieres firmar tu también? Click aquí:  Gracias</t>
  </si>
  <si>
    <t>https://www.elnacional.cat/es/politica/nuevo-apoyo-internacional-vox-ku-klux-klan_331311_102_amp.html#click=https://t.co/MVyCNBC2WI</t>
  </si>
  <si>
    <t>http://www.citizengo.org/hazteoir/pc/167099-al-psoe-ni-agua-sr-rivera?tc=wp&amp;tcid=52535048</t>
  </si>
  <si>
    <t>Sevilla.</t>
  </si>
  <si>
    <t>Siempre abierto al diálogo y al debate.</t>
  </si>
  <si>
    <t>ARTURO GUSTAVO</t>
  </si>
  <si>
    <t>El rol de Susana Díaz  vía @HechosdeHoy</t>
  </si>
  <si>
    <t>https://www.hechosdehoy.com/albert-rivera-e-ines-arrimadas-en-reunion-crucial-para-andalucia-70513.htm</t>
  </si>
  <si>
    <t>Ibiza</t>
  </si>
  <si>
    <t>Censor Jurado de Cuentas y Economista español.</t>
  </si>
  <si>
    <t>mtrasto</t>
  </si>
  <si>
    <t>Aquello tanto habeis repetido en Cataluña de que gobierne la lista más votada, lo mantenéis ahora con las elecciones andaluzas? @CiudadanosCs @CiutadansCs @InesArrimadas @Albert_Rivera Esperando respuesta...</t>
  </si>
  <si>
    <t>Juanma</t>
  </si>
  <si>
    <t>#PresidenciaAndaluzaARV @pablocasado_ @Albert_Rivera ¿Seréis capaces de pactar con VOX? ¿Abandonáis vuestra cacareada posición de "centro" político? Os marcará para siempre... y os lo recordaremos eternamente. #NOalFascismo</t>
  </si>
  <si>
    <t>Jiennense en Madrid. Autor del libro de poemas: DESLENGUADA PALABRA.</t>
  </si>
  <si>
    <t>#España @QuimTorraiPla disfrutando de ver como @Albert_Rivera se monta en el mismo titanic que comenzó el hundimiento del @PSOE y @ahorapodemos con su alianza para burlarse de la voluntad los #andaluces #CsSociodeCorruptos por ser =</t>
  </si>
  <si>
    <t>https://pbs.twimg.com/media/DtlAd_nUwAA1Rq5.jpg</t>
  </si>
  <si>
    <t>Mi Querida España +=+=</t>
  </si>
  <si>
    <t>La razón principal para que @CiudadanosCs se alíe con @vox_es que @Albert_Rivera nunca tuvo suficientes cojones para aplicarles un 155 correcto y hacerles frente a estos mierdas separatistas. RT @europapress: Escrache a Manuel Valls durante un acto en el Raval de Barcelona Unos 50 manifestantes de varios colectivos han obstaculizado el acto con silbidos y gritos. El político ha tenido que salir escoltado</t>
  </si>
  <si>
    <t>https://twitter.com/europapress/status/1069948161307877377
https://bit.ly/2FX8vtZ</t>
  </si>
  <si>
    <t>pic.twitter.com/bYQJNwPLMt</t>
  </si>
  <si>
    <t>¡Con El Rey, por España! Filántropo #TABARNIA @vox_es V.E.R.D.E. 🇪🇸 ¡Viva España!</t>
  </si>
  <si>
    <t>ジョエル  Joe</t>
  </si>
  <si>
    <t>Esta noche en @tv3cat se emitirá un documental sobre @vox_es de @euskaltelebista ¿Eso también es adoctrinamiento secesionista @InesArrimadas @Albert_Rivera ? #360Vox</t>
  </si>
  <si>
    <t>Reus, España</t>
  </si>
  <si>
    <t>Un de tants. Viticultor i Hosteler. Català i Ganxet. Molt de Manga i Anime. Cultura Oriental.</t>
  </si>
  <si>
    <t>Number Six</t>
  </si>
  <si>
    <t>¿Ya se lo han dicho a Albert Rivera? Estará desolado.  vía @elpais_inter</t>
  </si>
  <si>
    <t>https://elpais.com/internacional/2018/12/04/actualidad/1543949356_728735.html?id_externo_rsoc=TW_CC</t>
  </si>
  <si>
    <t>The Village</t>
  </si>
  <si>
    <t>I will not make any deals with you. I will not be pushed, filed, stamped, indexed, briefed, debriefed or numbered. My life is my own.</t>
  </si>
  <si>
    <t>Juan F. Dorrego</t>
  </si>
  <si>
    <t>#Felizmiércoles: Debate en profundidad de Ciudadanos sobre la hoja de ruta estratégica en Andalucía.  vía @HechosdeHoy</t>
  </si>
  <si>
    <t>Periodista, director de http://hechosdehoy.com, al filo de la noticia con Think Pad.</t>
  </si>
  <si>
    <t>Somaten Montserrat 🇪🇸🇪🇸🇪🇸</t>
  </si>
  <si>
    <t>Vaya papelón os están echando @Albert_Rivera o @ahorapodemos o @vox_es jajajaja a ver vuestros votantes que dicen</t>
  </si>
  <si>
    <t>por España, por Catalunya , Viva el Rey y Viva España !!!!!</t>
  </si>
  <si>
    <t>susanita</t>
  </si>
  <si>
    <t>Todo muy normal. Ku klux klan celebrando el adveniviento de Vox. @manuelvalls sabes dónde te has metido? Sabes quién es @Albert_Rivera ?? Sabes qué es ciudadanos??</t>
  </si>
  <si>
    <t>lopezbarrancojavier</t>
  </si>
  <si>
    <t>Lo de la ultraderecha en España es culpa de Catalunya. Porque Aznar, Losantos, Sánchez Dragó, C’s, Herrera, OkDiario, Rosa Díez, Javier Negre, La Razón, Albert Rivera, Pablo Casado, Fernández Díaz, Trillo, el ABC y El Mundo eran de izquierdas hasta antes de ayer.</t>
  </si>
  <si>
    <t>https://www.publico.es/tremending/2018/12/04/elecciones-andalucia-2018-el-exlider-del-ku-klux-klan-david-duke-celebra-el-resultado-de-vox-en-andalucia/</t>
  </si>
  <si>
    <t>Sant Vicent del Raspeig</t>
  </si>
  <si>
    <t>no se lo que soy... tu?</t>
  </si>
  <si>
    <t>Esperanza</t>
  </si>
  <si>
    <t>Lo preocupados que están @pablocasado_ y @Albert_Rivera con la situación de los medios de comunicación en Venezuela y todavía no han dicho nada de que VOX haya censurado a @ctxt_es y La Sexta.</t>
  </si>
  <si>
    <t>Mentxu Dripos</t>
  </si>
  <si>
    <t>Albert Rivera e Inés Arrimadas en reunión crucial para Andalucía</t>
  </si>
  <si>
    <t>https://ift.tt/2QEbqvG</t>
  </si>
  <si>
    <t>https://pbs.twimg.com/media/DtpaQniWoAA0d47.jpg</t>
  </si>
  <si>
    <t>#Periodista. #Blogger. Escribo para @HechosdeHoy. #SocialMedia #Marketingdigital #CommunityManager. @AulaCM. Instagram: @mentxudripos</t>
  </si>
  <si>
    <t>Estoy loca, soy una enferma, quizá peligrosa, pero simpática. Este país se merece una demente con clase y yo se la voy a dar.</t>
  </si>
  <si>
    <t>Carlos Gomez Antelo 🌀</t>
  </si>
  <si>
    <t>Ojo @davidbroncano haciendo un @Albert_Rivera eligiendo la única preposición que no valía... Minuto 5:00 @IgnatiusFarray @_Queque_ @VidaModernaOML @LaResistencia</t>
  </si>
  <si>
    <t>https://www.youtube.com/watch?v=UDfJUlI_tXU</t>
  </si>
  <si>
    <t>Manchester-Malta</t>
  </si>
  <si>
    <t>Marta</t>
  </si>
  <si>
    <t>Jugador de poker y profesor de EducaspinProject en Educapoker.</t>
  </si>
  <si>
    <t>He leído este twit y vamos si lleva razón: Albert Rivera lleva meses diciendo que Pedro Sánchez no puede gobernar con 84 diputados de 350 y él quiere gobernar Andalucía con 21 de 109 😅 @CiudadanosCs @PSOE @abalosmeco @oscar_puente_ @odonelorza2011 @La_SER @sanchezcastejon</t>
  </si>
  <si>
    <t>Cartagena</t>
  </si>
  <si>
    <t>Enfermera de profesión y vocación. #CambiandoCartagena @psoe_ct</t>
  </si>
  <si>
    <t>http://www.psoe.es/cartagena/news/page/noticias.html</t>
  </si>
  <si>
    <t>Manelet 🎗️||*||🎗️</t>
  </si>
  <si>
    <t>.@pablocasado_ a @Albert_Rivera -Donde vamos Albert? -A la Junta de Andalucía, Pablo -Y por que nos vestimos así? -Es el nuevo uniforme, que nos impone @vox_es -Pues no veo una mierda</t>
  </si>
  <si>
    <t>Iván González 🇪🇺</t>
  </si>
  <si>
    <t>Cuando descubra qué le da "argumentos" a Aznar, Losantos, Sánchez Dragó, C’s, Herrera, OkDiario, Rosa Díez, Javier Negre, La Razón, Albert Rivera, Pablo Casado, Fernández Díaz, Trillo, el ABC y El Mundo, el alegre Rufián va a implosionar. RT @gabrielrufian: Lo de la ultraderecha en España es culpa de Catalunya. Porque Aznar, Losantos, Sánchez Dragó, C’s, Herrera, OkDiario, Rosa Díez, Javier Negre, La Razón, Albert Rivera, Pablo Casado, Fernández Díaz, Trillo, el ABC y El Mundo eran de izquierdas hasta antes de ayer.</t>
  </si>
  <si>
    <t>https://pbs.twimg.com/media/Dtk_GIpW4AUNa-r.jpg</t>
  </si>
  <si>
    <t>https://twitter.com/gabrielrufian/status/1070053903570530304</t>
  </si>
  <si>
    <t>Principado de Asturias, Spain</t>
  </si>
  <si>
    <t>Proyecto de Ingeniero. Movilización y RRSS en la @FSA_PSOE. Culture for living, progressivism in order to do it worthily and ecology for it to be possible.</t>
  </si>
  <si>
    <t>La Garrotxa - Catalunya</t>
  </si>
  <si>
    <t>Besnét d'una dona afusellada per les tropes feixistes. Sempre en lluita, per un món millor.</t>
  </si>
  <si>
    <t>Roberto Errejota</t>
  </si>
  <si>
    <t>La derrota del @PSOE en las #EleccionesAndalucia es también una pequeña derrota de @CiudadanosCs que les mantuvo 4 años más en el cargo. Menos triunfalismo, @Albert_Rivera y autocrítica. Sois 3°, no 1°, y un pacto en minoría con los perdedores os sentenciaría el futuro.</t>
  </si>
  <si>
    <t>Virgilio Cayuela 🐠 🇪🇸 👑</t>
  </si>
  <si>
    <t>Albert Rivera a punto de solucionar el tema del cambio en Andalucía.@CiudadanosCs @PPopular @vox_es</t>
  </si>
  <si>
    <t>https://pbs.twimg.com/media/DtpVgJzW0AAYd_4.jpg</t>
  </si>
  <si>
    <t>Tangerino Internacional</t>
  </si>
  <si>
    <t>León, Spain</t>
  </si>
  <si>
    <t>Ldo. en Derecho. Investigador e historiador. Viajar, deporte y foto. Superpapi, siempre. Autor de 'Villazala: el eslabón perdido del marquesado de Astorga'</t>
  </si>
  <si>
    <t>http://ramblalibre.com/2018/12/05/pedro-j-ramirez-obsesionado-contra-vox-impone-sus-criterios-a-albert-rivera/#.XAemfYlOYCs.twitter</t>
  </si>
  <si>
    <t>Transparencia UPM ¡Elecciones anticipadas YA!🇪🇸</t>
  </si>
  <si>
    <t>Recuerdo que ese día te defendí @Albert_Rivera igual que lo hizo @Santi_ABASCAL sin ser de @CiudadanosCs Y sufrí los insultos y amenazas de los "demócratas" Igual que el que defiende una maltratada y acaba pateado en coma en la calle. El desamor duele por la equivocación. RT @alonso_dm: Si Rivera quiere una excusa para pactar con VOX, aquí la tiene. Sería una indignidad aceptar la abstención de quienes han dicho las mayores barbaridades de él mientras desprecia al único que le ha defendido.</t>
  </si>
  <si>
    <t>ESPAÑA con Ñ como siempre</t>
  </si>
  <si>
    <t>No peace without justice</t>
  </si>
  <si>
    <t>VOX Noticias 🇪🇸</t>
  </si>
  <si>
    <t>📺 @Santi_ABASCAL en @elprogramadear 👉🏻 "Albert Rivera es como un toro manso, no sabes por dónde va a salir. Cuando alguien vota a Ciudadanos, uno no sabe si va a entregar el voto a la derecha o a la izquierda" #AbascalAR</t>
  </si>
  <si>
    <t>Se lo está poniendo fácil @pablocasado_ a @Albert_Rivera para salir corriendo RT @elconfidencial: Casado no descarta ceder consejerías a Vox en un hipotético Gobierno de Juanma Moreno</t>
  </si>
  <si>
    <t>¡Afíliate o colabora!</t>
  </si>
  <si>
    <t>Perfil oficial de información de @vox_es | Libertad, identidad, soberanía, familia, valores, justicia y democracia | #EspañaLoPrimero</t>
  </si>
  <si>
    <t>https://www.voxespana.es/afiliarse-a-vox</t>
  </si>
  <si>
    <t>https://twitter.com/elconfidencial/status/1069920952157388801
https://www.elconfidencial.com/elecciones-andalucia/2018-12-03/resultados-elecciones-andaluzas-vox-susana-diaz_1682186/?utm_source=twitter&amp;utm_medium=social&amp;utm_campaign=ECDiarioManual</t>
  </si>
  <si>
    <t>Hola: He firmado una petición dirigida a Sr. @Albert_Rivera que dice: "Al PSOE ni agua, Sr. Rivera" ¿Quieres firmar tu también? Click aquí:  Gracias @PPopular @vox_es @CiudadanosCs @CILUS_Andalucia</t>
  </si>
  <si>
    <t>El programa de Ana Rosa</t>
  </si>
  <si>
    <t>.@Santi_ABASCAL : "Albert Rivera es como un toro manso, no sabes por dónde va a salir" @vox_es #AbascalAR</t>
  </si>
  <si>
    <t>http://www.citizengo.org/hazteoir/pc/167099-al-psoe-ni-agua-sr-rivera?tc=wp&amp;tcid=52510391</t>
  </si>
  <si>
    <t>https://pbs.twimg.com/media/Dtk9ST5WoAAqgv2.jpg</t>
  </si>
  <si>
    <t>http://bit.ly/2PmHWOi</t>
  </si>
  <si>
    <t>https://pbs.twimg.com/media/DtpTw4EW0AEfLE7.jpg</t>
  </si>
  <si>
    <t>Perfil oficial del programa de @telecincoes. Presentado por Ana Rosa Quintana | http://www.facebook.com/elprogramadear</t>
  </si>
  <si>
    <t>http://www.telecinco.es/elprogramadeanarosa</t>
  </si>
  <si>
    <t>El profeta o el bufón de las cortes... Que opinan Ustedes... Esta si es una profecía a que si @Albert_Rivera pacta con @psoeandalucia en las municipales y europeas pierde al menos el 40% de los votos. Ojo al menos.</t>
  </si>
  <si>
    <t>pic.twitter.com/dXBkhHdlEx</t>
  </si>
  <si>
    <t>VdeRubén</t>
  </si>
  <si>
    <t>2018 "No descartamos pactar con VOX" #hemeroteca 2008 Albert Rivera: "Somos un partido de centro-izquierda"</t>
  </si>
  <si>
    <t>https://youtu.be/PbnwJpoIXnE</t>
  </si>
  <si>
    <t>Si el señor @Albert_Rivera tira a la basura los miles de votos de los andaluces pactando con el PSOE perderá todo tipo de credibilidad y Ciudadanos pasará sin saber que pasó. Sería un error de infancia política. PSOE y Podemos son una misma cosa. @FJL_EsRadio @Santi_ABASCAL RT @UlisesGamez10: La política es mucho más que ganar votos. Los comunistas suelen ganar votos pero son la anti política. Ciudadanos se puede meter en un laberinto si pacta con el PSOE. Se equivoca @Albert_Rivera. @FJL_EsRadio Andalucia puede ser su tumba y la de CIUDADANOS @Santi_ABASCAL viva VOX</t>
  </si>
  <si>
    <t>Perifèria de BCN</t>
  </si>
  <si>
    <t>Citizen of Catalonian Republic. Defender la alegría como una trinchera, defenderla del escándalo y la rutina, de la miseria y los miserables</t>
  </si>
  <si>
    <t>https://twitter.com/UlisesGamez10/status/1069952287462834176
https://twitter.com/rosadiezglez/status/1069862698035412992</t>
  </si>
  <si>
    <t>Alerta Nacional</t>
  </si>
  <si>
    <t>Albert Rivera, la estafa naranja, un veleta sin principios y más falso que un billete del Monopoly</t>
  </si>
  <si>
    <t>https://www.alertanacional.es/albert-rivera-la-estafa-naranja-un-veleta-sin-principios-y-mas-falso-que-un-billete-del-monopoly/</t>
  </si>
  <si>
    <t>https://pbs.twimg.com/media/DtpSJIHVsAAZVZg.jpg</t>
  </si>
  <si>
    <t>Cs Figueres</t>
  </si>
  <si>
    <t>https://www.alertanacional.es</t>
  </si>
  <si>
    <t>Mañana, con @Albert_Rivera @InesArrimadas y @manuelvalls #40AñosDeConstitución</t>
  </si>
  <si>
    <t>https://pbs.twimg.com/media/Dtk8tQzXQAIgMGH.jpg</t>
  </si>
  <si>
    <t>Figueres</t>
  </si>
  <si>
    <t>Twitter oficial de Ciudadanos (Cs) en Figueres - Twitter oficial de Ciutadans (Cs) a Figueres</t>
  </si>
  <si>
    <t>Cs Actualidad</t>
  </si>
  <si>
    <t>“La Constitución española es una de las mejores del mundo. Fuerte y a la vez dinámica, con una completa y avanzada carta de derechos y libertades, nos ha proporcionado 40 años de paz, prosperidad, crecimiento y libertad”. A. Rivera. #TodosSomosConstitución</t>
  </si>
  <si>
    <t>La Mánager FC</t>
  </si>
  <si>
    <t>La proyección nacional de @InesArrimadas supera la de su jefe @Albert_Rivera. La tentación está servida: saltar al Congreso de los Diputados y ser la nueva presidenta de @CiudadanosCs. Capítulo 10, #LaMánagerFC … Novela de #FicciónCoyuntural CC @dbardavio</t>
  </si>
  <si>
    <t>https://pbs.twimg.com/media/DtpRVKnWwAAdTZ1.jpg</t>
  </si>
  <si>
    <t>España, Europa.</t>
  </si>
  <si>
    <t>https://managerfc.com/capitulo-10-la-transicion-fin-de-1a-t</t>
  </si>
  <si>
    <t>Ciudadanos, el centro político en España. Perfil de apoyo a @CiudadanosCs #Actualidad #Ciudadanos #ActualidadCs #VotaCs #YoVotoCiudadanos #YoVotoCs</t>
  </si>
  <si>
    <t>https://pbs.twimg.com/media/Dtk7tf8XQAEyb7w.jpg</t>
  </si>
  <si>
    <t>SomosLegion</t>
  </si>
  <si>
    <t>En Nuestra Plaza: Mensaje para Albert Rivera: EDITORIAL El Pais "Ahora, Andalucía": "Cualquier coalición es legítima, salvo con fuerzas que vulneran la Constitución"</t>
  </si>
  <si>
    <t>Manuela Aguirre, mánager. Novela de #FicciónCoyuntural inspirada en la actualidad española. Barça vs Madrid. Secesión vs unidad. El futuro depende del fútbol.</t>
  </si>
  <si>
    <t>https://ift.tt/2E2KqQ0</t>
  </si>
  <si>
    <t>http://ManagerFC.com</t>
  </si>
  <si>
    <t>puerto piritu</t>
  </si>
  <si>
    <t>Si yo hubiese votado a @CiudadanosCs en elecciones de #Andalucia y no cumple su palabra no lo votaría más para ninguna elección @Albert_Rivera #España</t>
  </si>
  <si>
    <t>MonicaRotllan 🐾🐾</t>
  </si>
  <si>
    <t>El 35% de los votos de Vox viene de Ciudadanos..como Albert Rivera siga yendo de más listo que sus propios votantes se va a enterar en los comicios generales de lo mucho que hiere la deslealtad</t>
  </si>
  <si>
    <t>PUERTO PIRITU</t>
  </si>
  <si>
    <t>Grupo Critico</t>
  </si>
  <si>
    <t>If it is not right do not do it; if it is not true do not say it. Marcus Aurelius</t>
  </si>
  <si>
    <t>Si yo hubiese votado a @CiudadanosCs en elecciones de #Andalucia y no cumple su palabra no lo votaría más para ninguna elección @Albert_Rivera</t>
  </si>
  <si>
    <t>Vecino de Orden</t>
  </si>
  <si>
    <t>Anda pero si Abascal lleva toda la vida en la política... No como Pedro Sánchez, Pablo Casado, Albert Rivera y Pablo Iglesias con sus grandes carreras profesionales en el mundo de la empresa, la abogacía y la ciencia...</t>
  </si>
  <si>
    <t>Les Corts, les Espanyes</t>
  </si>
  <si>
    <t>De derechas para que no nos quiten misa ni cuartos/Ni buenismo ni malismo/Contra chusmización de la política/Antisectarios/ProVerdad/Fueros/Virtud en libertad</t>
  </si>
  <si>
    <t>Nacho🏳️‍🌈💜🌹🔻</t>
  </si>
  <si>
    <t>El Ku Klux Klan también es de extrema necesidad? @pablocasado_ @Albert_Rivera @FSerranoCastro</t>
  </si>
  <si>
    <t>Republicano,aliado feminista y más cosas terminadas en -ista.Cojo de nacimiento.En mi TL hablo de política y un poco de todo.En proceso formativo revolucionario</t>
  </si>
  <si>
    <t>https://curiouscat.me/nachogarci2005</t>
  </si>
  <si>
    <t>Movimiento Social</t>
  </si>
  <si>
    <t>Cuando la política se lleva al terreno de las banderas, los antiguos cabezas rapadas de ideologia Nazi, ganan por goleada. Se han blanqueado, pero es el mismo discurso. Son terroristas de la democracia @Santi_ABASCAL @sanchezcastejon @pablocasado_ @Pablo_Iglesias_ @Albert_Rivera</t>
  </si>
  <si>
    <t>Espacio de divulgación y defensa de los Valores Humanos y de los Derechos de los Ciudadanos.</t>
  </si>
  <si>
    <t>http://movimiento-social.webnode.es</t>
  </si>
  <si>
    <t>Mi más rotunda condena a esta brutal paliza de una quincena de cobardes totalitarios a un joven por defender la unidad de España. Ojalá se recupere lo antes posible y sus agresores sean pronto detenidos para que caiga sobre ellos todo el peso de la ley.</t>
  </si>
  <si>
    <t>CdV - Sevilla</t>
  </si>
  <si>
    <t>Tal cual! @InesArrimadas @Albert_Rivera @JuanMarin_Cs @Cs_Andalucia RT @aybarrapacheco: Si Ciudadanos cede a la presión de la izquierda y evita el cambio en Andalucía habrá firmado con el incumplimiento de sus promesas su suicidio político. En Andalucía y en España.</t>
  </si>
  <si>
    <t>Delegación del «Act Tank» @clubdeviernes en Sevilla. Más libertad, menos socialismo. Email: sevilla@elclubdelosviernes.org/Canal de Telegram: http://telegram.me/cdvsur</t>
  </si>
  <si>
    <t>http://elclubdelosviernes.org</t>
  </si>
  <si>
    <t>FuckEgo</t>
  </si>
  <si>
    <t>Entre otras cosas que no tienen sentido que existan. Pero es interesante el dilema personal, cuando siempre has pensado en la frase "prohibido, prohibir"... Tampoco al otro extremo como dijo Albert Rivera, que "las...</t>
  </si>
  <si>
    <t>ANA RIO</t>
  </si>
  <si>
    <t>https://www.facebook.com/1124416594/posts/10212756514604099/</t>
  </si>
  <si>
    <t>¿ @pablocasado_ @Albert_Rivera van a seguir normalizando el discurso xenófobo,machista,homófobo y reaccionario de @vox_es ?Le Pen,el Ku Klux Klan,... Solo falta que les felicite el propio Franco. ¡FASCISMO LEGAL, VERGÜENZA NACIONAL! #4DAndalucía</t>
  </si>
  <si>
    <t>Fuenlabrada, Madrid</t>
  </si>
  <si>
    <t>Iracundo, Contumaz, Epicúreo, Onanista, Concupiscente, Exigente, Misántropo-Antropófago, Directo y Dilecto. Otro día pongo mis defectos ;D</t>
  </si>
  <si>
    <t>http://jaujamanagement.blogspot.com.es</t>
  </si>
  <si>
    <t>https://www.eldiario.es/rastreador/Klux-Klan-Vox-Reconquista-Andalucia_6_842775724.html</t>
  </si>
  <si>
    <t>https://pbs.twimg.com/media/Dtk7r-2XcAAZQoj.jpg</t>
  </si>
  <si>
    <t>Pues parece que a Albert Rivera no le hacen asco los votos nazis de Voz.....</t>
  </si>
  <si>
    <t>Jose Segovia (girl)</t>
  </si>
  <si>
    <t>Qué miedo le tienen a @vox_es Como el partido de @Albert_Rivera negocie con los socios del independentismo, será su perdición. Podemos no descarta permitir que Cs gobierne Andalucía para cerrar el paso a Vox</t>
  </si>
  <si>
    <t>http://bit.ly/2SsZASj</t>
  </si>
  <si>
    <t>Me interesa todo... pero no me importa nada.</t>
  </si>
  <si>
    <t>Espero que @JuanMarin_Cs no sea tan sin verguenza como @sanchezcastejon que por gobernar pacta con el diablo! ANDALUCIA ha dicho que quiere cambio y eso es pactar con @vox_es y @PPopular. SI pacta con @PSOE y @AdelanteAND QUE SE PREPARE @Albert_Rivera para perder las GENERALES!</t>
  </si>
  <si>
    <t>🇪🇸Carlos Jiménez</t>
  </si>
  <si>
    <t>Esto lo hacen con pensionistas y con los demás trabajadores públicos @Albert_Rivera @pablocasado_ @sanchezcastejon @Pablo_Iglesias_ @Santi_ABASCAL ? RT @el_pais: Los diputados se suben el sueldo un 2,5%</t>
  </si>
  <si>
    <t>https://twitter.com/el_pais/status/1069945415745716225
https://elpais.com/politica/2018/12/03/actualidad/1543834810_981190.html?id_externo_rsoc=TW_CM</t>
  </si>
  <si>
    <t>Bosco Vallejo-Nágera Esteban</t>
  </si>
  <si>
    <t>El PP? ADN franquista, fascistas, fachas. Ciudadanos? La nueva ultraderecha, Albert Primo de Rivera Vox? ALERTA ANTIFASCISTA X FAVOR TENED SENTIDO DEMOCRÁTICO Y NO PACTÉIS CON ELLOS HAGAMOS CORDÓN SANITARIO</t>
  </si>
  <si>
    <t>Estudiante de ingeniería de software. Afiliado a @vox_es</t>
  </si>
  <si>
    <t>Hoy es el primer día del resto de tu vida</t>
  </si>
  <si>
    <t>http://www.ginecologiacarmona.com</t>
  </si>
  <si>
    <t>💮Miguel Canet Femenia</t>
  </si>
  <si>
    <t>#AbascalAR Según #Abascal Albert Rivera es como un "toro manso" q nunca sabes por dónde te va a salir pues va dando bandazos de derecha a izquierda sin rumbo fijo.</t>
  </si>
  <si>
    <t>team peds</t>
  </si>
  <si>
    <t>País Valenciá  (Espanya)</t>
  </si>
  <si>
    <t>Discutir en Twitter es perder el tiempo,.. la experiencia me aconseja BLOK.</t>
  </si>
  <si>
    <t>Mirad, @pablocasado_ y @Albert_Rivera: el líder del Ku Klux Klan durante los años 70 felicita a @vox_es por su resultado en Andalucía. Qué despistado. Debe de pensar que se trata de un partido fascista o algo.</t>
  </si>
  <si>
    <t>Javier Calero</t>
  </si>
  <si>
    <t>http://twib.in/l/ABq9yb9KeeMq</t>
  </si>
  <si>
    <t>Un corresponsal croata me acaba de comparar los vaivenes ideológicos de Ciudadanos y Albert Rivera con Luka Modric y sus movimientos en el campo.</t>
  </si>
  <si>
    <t>Periodista/Journalist. ABC. Ganador de los premios La Buena Prensa en la categoría de Entrevista. fjcalero[@]http://abc.es</t>
  </si>
  <si>
    <t>http://www.abc.es/autor/fj-calero-1308/</t>
  </si>
  <si>
    <t xml:space="preserve">carina and arizona 💟 </t>
  </si>
  <si>
    <t>there's no purpose in my life without Arizona Robbins. jessica capshaw and sarah drew deserved better.</t>
  </si>
  <si>
    <t>Es un auténtico espectáculo ver y escuchar a @pablocasado_ y @albert_rivera cambiando sus discursos sobre los "pactos de perdedores" y sobre lo que entienden por xenofobia, radicalidad o moderación para pactar con VOX. Un auténtico espectáculo.</t>
  </si>
  <si>
    <t>https://pbs.twimg.com/media/Dtk20_cWoAAJb54.jpg</t>
  </si>
  <si>
    <t>Pablo Casado y Albert Rivera traicionan a la democracia por un sillón en el Parlamento andaluz y pactan con los ultrafascistas....</t>
  </si>
  <si>
    <t>Salvador Lucas</t>
  </si>
  <si>
    <t>Albert Rivera enviant un ram de flors i demanant perdò a Carina Mejias... "tú siempre fuiste mi apuesta" RT @elperiodico: Valls rechaza un pacto de @CiudadanosCs con Vox: "No puede haber ningún compromiso con la extrema derecha"  #EleccionesAndaluzas</t>
  </si>
  <si>
    <t>https://twitter.com/elperiodico/status/1070248326031908864
http://elperiodi.co/ocu7z1</t>
  </si>
  <si>
    <t>LOGODEPA</t>
  </si>
  <si>
    <t>Talla - Escultura - Tornejat - Fusta</t>
  </si>
  <si>
    <t>http://volumenes.blogspot.com.es/?view=snapshot</t>
  </si>
  <si>
    <t>Jandenauer</t>
  </si>
  <si>
    <t>Alguna duda @pablocasado_ o @Albert_Rivera si VOX es extrema derecha o no? Un antiguo lider del KKK felicita a VOX, creo que esta todo dicho....</t>
  </si>
  <si>
    <t>Pablo Navarro بابلو</t>
  </si>
  <si>
    <t>Pocos días le han bastado a Manuel Valls para demostrar que, políticamente, está muy por encima de Albert Rivera, que ha perdido el norte</t>
  </si>
  <si>
    <t>Kadıköy, İstanbul</t>
  </si>
  <si>
    <t>..pensando a la inversa!!</t>
  </si>
  <si>
    <t>Frustrada vocación literaria</t>
  </si>
  <si>
    <t>http://dlvr.it/Qssdth</t>
  </si>
  <si>
    <t>https://pbs.twimg.com/media/DtpJ9zrU8AAKJjb.jpg</t>
  </si>
  <si>
    <t>Marcos Paradinas</t>
  </si>
  <si>
    <t>Manuel Valls, el Pepito Grillo de Albert Rivera</t>
  </si>
  <si>
    <t>http://bit.ly/2Efvb75</t>
  </si>
  <si>
    <t>Redactor jefe de @el_plural Elegí ser periodista, porque mucho peor sería tener que trabajar...</t>
  </si>
  <si>
    <t>http://marcosparadinas.com</t>
  </si>
  <si>
    <t>y soy andaluz, muy andaluz, i molt catalá¿y que?</t>
  </si>
  <si>
    <t>#AbascalAR ahora va a resultar según qué Macron es anti europeista¿ No era Macron el referente de Albert Rivera? ¿ no quería Albert Rivera una Francia como la de Macron?</t>
  </si>
  <si>
    <t xml:space="preserve">VIC, República Catalana </t>
  </si>
  <si>
    <t>JRB</t>
  </si>
  <si>
    <t>Os he votado para acabar con el PSOE, no para pactar con el PSOE. Si pactáis con el PSOE de nuevo habréis cavado vuestra tumba para las autonómicas y locales, mi voto y afiliación se perdería. @CiudadanosCs @Albert_Rivera vosotros mismos.</t>
  </si>
  <si>
    <t>Albert Rivera preparándose un mitin.</t>
  </si>
  <si>
    <t>https://pbs.twimg.com/media/DtpIgh8WwAEH27_.jpg</t>
  </si>
  <si>
    <t>Los conciertos sin bises y la tortilla con cebolla.</t>
  </si>
  <si>
    <t>La izquierda tiene dos opciones. 1ra que @Albert_Rivera y @pablocasado_ pacten con VOX o bloquearlo y que se convoquen nuevas elecciones.</t>
  </si>
  <si>
    <t>🎥🤨 Toda la campaña hablándonos de Cataluña y parece que ahora lo que vale para Cataluña no vale para Andalucía. ¿Vais apoyar la lista más votada como pedía @Albert_Rivera? @JuanMarin_Cs @Cs_Andalucia</t>
  </si>
  <si>
    <t>Actualidad de hoy</t>
  </si>
  <si>
    <t>http://dlvr.it/QsscXZ</t>
  </si>
  <si>
    <t>https://pbs.twimg.com/media/DtpIIl_VAAAFAxG.jpg</t>
  </si>
  <si>
    <t>pic.twitter.com/kQi4mkjt0G</t>
  </si>
  <si>
    <t>Mantente al día con la actualidad de hoy</t>
  </si>
  <si>
    <t>Miriam Romero</t>
  </si>
  <si>
    <t>http://dlvr.it/QsscTq</t>
  </si>
  <si>
    <t>https://pbs.twimg.com/media/DtpIIkgUUAIabSw.jpg</t>
  </si>
  <si>
    <t>Xàtiva, España</t>
  </si>
  <si>
    <t>Mujer, hija, esposa y madre. Somos lo que hacemos para cambiar lo que somos (E.Galeano) Funcionaria pública. FHN</t>
  </si>
  <si>
    <t>Gon</t>
  </si>
  <si>
    <t>"Señores" @Albert_Rivera y @pablocasado_ del @PPopular y @CiudadanosCs como era eso de que tiene que gobernar la lista mas votada? TENÉIS MAS CARA QUE ESPALDA!!! #mentirosos</t>
  </si>
  <si>
    <t>CdV Andalucía</t>
  </si>
  <si>
    <t>Reventar intervenciones públicas de Rosa Díez o Albert Rivera en universidades y pueblos es fascismo, y eso no lo ha hecho Vox. Interrumpir medio en cueros misas y atentar contra la fe o las creencias de los demás es fascismo, y eso no lo ha hecho Vox...</t>
  </si>
  <si>
    <t>https://www.diariocordoba.com/noticias/opinion/vienen-fascistas_1268321.html</t>
  </si>
  <si>
    <t>Miguel Mayo</t>
  </si>
  <si>
    <t>Si @Albert_Rivera y @CiudadanosCs llegan a acuerdos para gobernar con el @PSOE perderán toda credibilidad y lo pagarán en la Elecciones Generales !!!</t>
  </si>
  <si>
    <t>Andalusia, Spain</t>
  </si>
  <si>
    <t>Delegación de @clubdeviernes en Andalucía. Más libertad, menos socialismo. Email: andalucia@elclubdelosviernes.org Canal de Telegram: http://telegram.me/cdvsur</t>
  </si>
  <si>
    <t xml:space="preserve">@miguelmayo52
</t>
  </si>
  <si>
    <t>Economista, seguidor de la política nacional y sorprendido cada día de este circo llamado España.</t>
  </si>
  <si>
    <t>DE CUETO - SANTANDER</t>
  </si>
  <si>
    <t>Como este tio @albert_Rivera haga eso, se convertirá en otro traidor a España como el okupa paleto y los otros basuras. Lucharemos por España y los españoles y VENCEREMOS, claro que sí. ¿ Habéis oido @CiudadanosCs ? Como os unáis a @susanadiaz la gente os va a comer por la calle.</t>
  </si>
  <si>
    <t>https://pbs.twimg.com/media/Dtktr-LWoAAH36c.jpg</t>
  </si>
  <si>
    <t>Santander, Cantabria - España</t>
  </si>
  <si>
    <t>- LA VOZ DE ESPAÑA - Lealtad, Justicia, Amor, Contundencia y Firmeza. ¡ #ConservadorLiberal ! - SILENCIO/BLOQUEO a #PODEMATAS y TRAIDORES ASQUEROSOS por SISTEMA</t>
  </si>
  <si>
    <t>https://www.facebook.com/josealberto.rodriguezarroyo.9</t>
  </si>
  <si>
    <t>🏳️‍🌈DAVID SEGOVIA🏳️‍🌈</t>
  </si>
  <si>
    <t>#PresidenciaAndaluzaARV que dice @Albert_Rivera que gobierne la 3 fuerza que es la que más ha subido...por esa regla de 3 @ahorapodemos cuando entró al parlamento debería de haber gobernado no 🤔🤔🤔🤔?</t>
  </si>
  <si>
    <t>jerez de la frontera</t>
  </si>
  <si>
    <t>https://www.instagram.com/dsegoviaatienza/</t>
  </si>
  <si>
    <t>Gregorio López</t>
  </si>
  <si>
    <t>Es que cuando no se tiene principios ni fundamentos sólo se aspira a tener poder y gozar de sus prebendas. Ese es Albert Rivera y su delegado en Andalucía, Marín. RT @Ignaciotouza: Albert Rivera lleva meses diciendo que Pedro Sánchez no puede gobernar con 84 diputados de 350 y él quiere gobernar Andalucía con 21 de 109 😅</t>
  </si>
  <si>
    <t>https://twitter.com/Ignaciotouza/status/1069596048551743488</t>
  </si>
  <si>
    <t>Quien no quiere pensar es un fanático; quien no puede pensar, es un idiota; quien no osa pensar es un cobarde. Sir Francis Bacon (1561-1626) Filósofo .</t>
  </si>
  <si>
    <t>http://porelpaseodelvendaval.blogspot.com/</t>
  </si>
  <si>
    <t>.@Albert_Rivera era el Emmanuel Macron español, ¿no?</t>
  </si>
  <si>
    <t>Juan José Fernández</t>
  </si>
  <si>
    <t>PepitoGrillo ن 🇪🇸</t>
  </si>
  <si>
    <t>Como a @Albert_Rivera, @pablocasado_ o a @Santi_ABASCAL se les ocurra decepcionar a sus votantes andaluces, el ostión que se van a llevar en las siguientes elecciones, sean las que sean, va a ser épico.</t>
  </si>
  <si>
    <t>Si eres de Podemos, mejor no me sigas. Aborrezco la demagogia barata, esa en la que la izquierda y la extrema izquierda se han doctorado.</t>
  </si>
  <si>
    <t>http://about.me/pepillogrillo67</t>
  </si>
  <si>
    <t>Isabel.E 🇪🇸</t>
  </si>
  <si>
    <t>Albert Rivera es igual de traidor que Sánchez! Ya se ha apuntado al carro de gobernar sea como sea, pasándose por el forro los votos de la gente! #Ciudadanos</t>
  </si>
  <si>
    <t>Víctor M.</t>
  </si>
  <si>
    <t>Pactará @pablocasado_ y @Albert_Rivera con semejante escoria? RT @FSerranoCastro: Desde luego lo que no hay son mujeres liberales que se proclamen putas, brujas y bolleras.Eso está reservado para piojosas d ultraizquierda</t>
  </si>
  <si>
    <t>Madrileña, del Atleti...bailo para no bailarle el agua a nadie.⛔Trolls y Rojerio.</t>
  </si>
  <si>
    <t>Biomedicine and Bioinformatics. Currently working at @cabimer.</t>
  </si>
  <si>
    <t>http://instagram.com/victor12v</t>
  </si>
  <si>
    <t>Rebeca López</t>
  </si>
  <si>
    <t>Burriana, España</t>
  </si>
  <si>
    <t>@enbotellasabemejor</t>
  </si>
  <si>
    <t>Toca unir fuerzas,democratas!! @sanchezcastejon @Albert_Rivera @pablocasado_ @Pablo_Iglesias_</t>
  </si>
  <si>
    <t>https://youtu.be/0n09XaMFYpg</t>
  </si>
  <si>
    <t>Manu Cas</t>
  </si>
  <si>
    <t>Después de escuchar la entrevista de @CiudadanoVille en @HerreraenCOPE, espero que @Albert_Rivera no le vuelva a dejar hablar más. Que manera más absurda de liarla y de perder votos @JuanMarin_Cs #España #Andalucía #Ciudadanos #Política</t>
  </si>
  <si>
    <t>Francisco Cohortado</t>
  </si>
  <si>
    <t>Uy, de repente a Albert Rivera ya no le parece tan simpático.</t>
  </si>
  <si>
    <t>https://pbs.twimg.com/media/DtpC2RiX4AAI8ef.jpg</t>
  </si>
  <si>
    <t>Rojo, laicista, republicano, feminista y antifascista de mente abierta. Defensor de la igualdad, de la justicia social, de la cultura y de lo público.</t>
  </si>
  <si>
    <t>Estudiante de derecho y periodista</t>
  </si>
  <si>
    <t>https://elcuartopunto.blogspot.com.es</t>
  </si>
  <si>
    <t>Víctor JS</t>
  </si>
  <si>
    <t>Ya verás como @CiudadanosCs nos “jode” el cambio en ANDALUCIA. @vox_es @pablocasado_ @Albert_Rivera @esRadio @Santi_ABASCAL</t>
  </si>
  <si>
    <t>Lima, Peru</t>
  </si>
  <si>
    <t>Especialista en el Desarrollo/Gestión/Venta de Proyectos con más de 18 años de experiencia en creación de estrategias en el sector Industrial, Civil y Marítimo</t>
  </si>
  <si>
    <t>http://www.proyurbin.com</t>
  </si>
  <si>
    <t>Geиoveva</t>
  </si>
  <si>
    <t>PP y Cs pelearán por el trono andaluz en la 'era Vox' ⬅️ @pablocasado_ @Albert_Rivera El pueblo ha hablado: os ha elegido p/el cambio. La ambición personal y política, x la presidencia del Estado español os une contra ¿un enemigo @Santi_ABASCAL electoral?</t>
  </si>
  <si>
    <t>https://www.elperiodico.com/es/politica/20181203/pp-y-cs-inician-larga-pelea-por-trono-andaluz-elecciones-en-andalucia-con-vox-7182682?utm_source=twitter&amp;utm_medium=social</t>
  </si>
  <si>
    <t>[...inmersión lingüística obligatoria: abyecto sistema que prohíbe que más de la mitad de los niños catalanes reciban la enseñanza en su lengua materna...]</t>
  </si>
  <si>
    <t>Santiago Dotor</t>
  </si>
  <si>
    <t>.@Albert_Rivera @Cs_Andalucia: No permitáis que los corruptos del PSOE sigan gobernando Andalucía. Uníos a @PPopular y @Vox_es para echarlos de una vez #FueraPSOE. FIRMA:</t>
  </si>
  <si>
    <t>🇪🇸 Dr.Trankas#Licheone 🇪🇸</t>
  </si>
  <si>
    <t>Hoy, tras las elecciones andaluzas y viendo la reacción de los partidos, quiero dedicar este hilo a @Albert_Rivera e @InesArrimadas . Quiero hacerlo como catalán, pero muy por encima de ello, como español.</t>
  </si>
  <si>
    <t>A la derecha de la derecha.</t>
  </si>
  <si>
    <t>Máster en todo y doctorado en más. Ya estoy preparado para trabajar en una línea de producción... O presidir un país. 😉</t>
  </si>
  <si>
    <t>Martin  🤖 🇵🇹 #aborigen</t>
  </si>
  <si>
    <t>Los neofascistas franceses, los neonazi alemanes, el Ku klux Klan qué buenos aliados tenéis eh @InesArrimadas @Albert_Rivera @pablo_casado</t>
  </si>
  <si>
    <t>Siervo de la gleba, alquimista de los bytes.</t>
  </si>
  <si>
    <t>El Rutón #EleccionesGeneralesYa</t>
  </si>
  <si>
    <t>Mira @Albert_Rivera si después de que el @PSOE ha pactado como y cuando le ha dado la gana con @ahorapodemos la ultraizquierda, ahora tu vas a negar el pan y la sal a @vox_es ? Sería el fin de vuestro partido y hacerle el caldo gordo a susanita y la corrupción de los ERE</t>
  </si>
  <si>
    <t>La Fuerza Del Sur</t>
  </si>
  <si>
    <t>.susanadiaz en rne: "Albert_Rivera tiene que elegir qué hará su partido, si quiere frenar la ultraderecha como han hecho #Macron y #Merkel o quiere ser #Salvini" #ConSusanaMásAndalucía</t>
  </si>
  <si>
    <t>Cantabria, España</t>
  </si>
  <si>
    <t>Rutador por antonomasia. Ruto mas que hablo. Vivo en el país feliz, en la casa de la gominola y en la calle de la piruleta.</t>
  </si>
  <si>
    <t>#LaFuerzaDelSur #YoConSusana #Andalucía #Psoe https://www.instagram.com/lafuerzadelsur/</t>
  </si>
  <si>
    <t>https://lafuerzadelsur.wordpress.com/</t>
  </si>
  <si>
    <t>Que rufian a veces tenga razon no quita que sea un gilipollas Que Perez-Reverte sea un buen escritor no quita que sea un gilipollas Que Pablo Iglesias sea uno de los politicos mejor formados no quita que sea un gilipollas Y nada de esto quita que Albert Rivera sea un hijo de puta</t>
  </si>
  <si>
    <t>Espero que si @Cs_Andalucia @JuanMarin_Cs @CiudadanosCs @Albert_Rivera se considera de centro no apoye esto. #Cs #PP #VOX RT @comentaconjose: Casado no descarta ceder consejerías a Vox en un Gobierno de Moreno</t>
  </si>
  <si>
    <t>https://twitter.com/comentaconjose/status/1069927929231089666
https://www.elconfidencial.com/elecciones-andalucia/2018-12-03/resultados-elecciones-andaluzas-vox-susana-diaz_1682186/?utm_source=twitter&amp;utm_medium=social&amp;utm_campaign=BotoneraWeb</t>
  </si>
  <si>
    <t>Vigo,Galiza</t>
  </si>
  <si>
    <t>dicen por ahi que desayuno licor cafe con cereales,pero la verdad es que a veces paso de los cereales</t>
  </si>
  <si>
    <t>La gente ha votado a @Cs_Andalucia pensando en @Albert_Rivera y no en @JuanMarin_Cs, cada minuto que se pierda es muy valioso para que la gente empiece a notar el #cambio, pactar de una vez y empezad a #trabajar pq hay mucho que hacer. @JuanMa_Moreno @FSerranoCastro #Andalucia</t>
  </si>
  <si>
    <t>Y en contra de la decisión mayoritaria de los andaluces #Ciudadanos🍊 intenta salvar al #Psoe🥀 Y seguir siendo cómplice de 40 años de corrupción y socialismo! Será un fraude imperdonable @Albert_Rivera !🥀+🍊</t>
  </si>
  <si>
    <t>https://pbs.twimg.com/media/DtkmnGyXQAAHSN6.jpg</t>
  </si>
  <si>
    <t>Libertatem</t>
  </si>
  <si>
    <t>Sí @Albert_Rivera , los mismos con los que estáis intentando pactar en Andalucía, y apoyando hacer cordón sanitario a #VOX . RT @Albert_Rivera: Los totalitarios separatistas vuelven a acosar e insultar a @manuelvalls en Barcelona. Tienes todo mi apoyo, Manuel, seguiremos defendiendo la libertad, la unión y la democracia por toda Cataluña y por toda España. #NoNosCallarán</t>
  </si>
  <si>
    <t>https://twitter.com/Albert_Rivera/status/1069921507084779520</t>
  </si>
  <si>
    <t>Comprometido con una sociedad con #valores, que aprende del pasado para mejorar el presente y dar la cara al futuro.</t>
  </si>
  <si>
    <t>Jaume Ors .Ñ.🇪🇸</t>
  </si>
  <si>
    <t>¿Serán de VOX? @manuelvalls @CiudadanosCs @Albert_Rivera RT @libertaddigital: Grupos separatistas revientan un acto de Manuel Valls en Barcelona</t>
  </si>
  <si>
    <t>https://twitter.com/libertaddigital/status/1069923787271921665
http://dlvr.it/QsncN5</t>
  </si>
  <si>
    <t>En @elconfidencial: Directo | Sánchez: "Albert Rivera debería escuchar más a Valls sobre Vox"</t>
  </si>
  <si>
    <t>Es la hora de #España. NUESTRA INDESTRUCTIBLE ESPAÑA. Se acabó el tiempo del respeto al comunismo y al separatismo. #patriotismo #VOX #stopislam #misbanderas</t>
  </si>
  <si>
    <t>https://www.elconfidencial.com/espana/2018-12-04/directo-pedro-sanchez-entrevista_1686582/?utm_source=twitter&amp;utm_medium=social&amp;utm_campaign=BotoneraWeb</t>
  </si>
  <si>
    <t>🇪🇸Isa J.R.🇪🇸</t>
  </si>
  <si>
    <t>Reflexión @sanchezcastejon @susanadiaz @Pablo_Iglesias_ @Albert_Rivera @ArturoValls kien creéis ser pa dar legitimidad o no a los resultados de unas elecciones cuando el pueblo decidió os guste o no hubo votantes a vox y tienen k tener representación andaluza eso es democracia</t>
  </si>
  <si>
    <t>Adra, España</t>
  </si>
  <si>
    <t>Independentistas no gracias mejor dejarlos en su ignorancia ¡¡¡Viva España!!!🇪🇸 Afiliada de Vox #Lasilenciosacat</t>
  </si>
  <si>
    <t>JUNTA ENFURECIDA</t>
  </si>
  <si>
    <t>Tomad nota @InesArrimadas @Albert_Rivera @JuanMarin_Cs , porque así pensamos muchos RT @harryelsocio: Quienes no tenemos ideología de partido, ni mamamos de ninguno, no estamos en deuda con NADIE, sólo con nuestra conciencia. Esto nos hace sentir enormemente libres. Si te voto y me fallas, te vas al carajo. Para siempre.</t>
  </si>
  <si>
    <t>https://twitter.com/harryelsocio/status/1069589974947901440</t>
  </si>
  <si>
    <t>Amparo Blay Alabarta</t>
  </si>
  <si>
    <t>Albert Rivera lo dice muy claro apoyará al PSOE, lo acabo de oír en declaraciones anteriores a las elecciones. Asi que no me digan que no.</t>
  </si>
  <si>
    <t>ANDALUCÍA</t>
  </si>
  <si>
    <t>Perfil NO OFICIAL . Opción: Enfurecida. PERFIL DE COÑA EN OTRAS PALABRAS. ODIAMOS: LA PUGNA ENTRE LAS 2 ESPAÑAS, LA CORRUPCIÓN Y LA MALA SANGRE #sevanaenterar</t>
  </si>
  <si>
    <t>La libertad ni se compra ni se vende, o se tiene o no se tiene.</t>
  </si>
  <si>
    <t>Matsi ♀️</t>
  </si>
  <si>
    <t>El Ku Klux Klan felicita a VOX por su victoria en las elecciones andaluzas. Enhorabuena @Albert_Rivera , enhorabuena @pablocasado_ #YoSoyEspañolEspañolEspañol 🇪🇸 😱😱😱</t>
  </si>
  <si>
    <t>https://pbs.twimg.com/media/Dtkf8aLWwAACN_k.jpg</t>
  </si>
  <si>
    <t>Atea, feminista, anticapitalista, antifascista, ecologista, animalista y republicana.</t>
  </si>
  <si>
    <t>ℐℛℐЅ  ℐℬℰℛℐℂᎯ ✝️</t>
  </si>
  <si>
    <t>Ojito con lo que haces @Albert_Rivera ... No sea que te pierda la avaricia y al final el saco se acabe rompiendo! 🙄 RT @ivanedlm: POR FIN se va definiendo en algo @CiutadansCs!!! Busca acuerdo de consenso socialdemócrata para que nada cambie, salvo que presidan ellos. Maravilloso 😄 Rivera desprecia a @vox_es y pide a PP y PSOE que hagan a Marín presidente, por @mariano_alonsof</t>
  </si>
  <si>
    <t>https://twitter.com/ivanedlm/status/1069586346942087168
https://www.libertaddigital.com/espana/2018-12-02/rivera-desprecia-a-vox-y-pide-a-pp-y-psoe-que-hagan-a-marin-presidente-1276629239/</t>
  </si>
  <si>
    <t>Xavi Iniesta</t>
  </si>
  <si>
    <t>Atención Ciudadanos: no todo vale en Europa. A Rivera se le puede atragantar Andalucía</t>
  </si>
  <si>
    <t>http://www.elnacional.cat/es/politica/editorial-monde-leer-albert-rivera_331719_102.html</t>
  </si>
  <si>
    <t>Soñadora, Divertida y Curiosa. Orgullosa catalana española y mamá de 2</t>
  </si>
  <si>
    <t>http://www.cursosantiestres.com</t>
  </si>
  <si>
    <t>FortunaMoneta</t>
  </si>
  <si>
    <t>Guarden el twit para las Generales. @CiudadanosCs @Albert_Rivera RT @CiudadanosCs: 👉 Tras casi 40 años el cambio llega a Andalucía. 👉 A los que han llenado sus vitrinas de derrotas y a los que han vivido 40 años de los andaluces se les acabó el chollo 🍊 Presentaremos nuestra candidatura a la presidencia, vamos a echar al PSOE de la Junta de Andalucía</t>
  </si>
  <si>
    <t>https://twitter.com/CiudadanosCs/status/1069695879790116865</t>
  </si>
  <si>
    <t>pic.twitter.com/KT4Ajb9xTM</t>
  </si>
  <si>
    <t>Comunidad Autónoma Tabarnia</t>
  </si>
  <si>
    <t>Master por la RJCP en Podemos, PSOE, ERC, y adlateres</t>
  </si>
  <si>
    <t>IDEOLOGÍA DE CARTÓN</t>
  </si>
  <si>
    <t>Hay una cosa clara sí @CiudadanosCs @Albert_Rivera pactan con el @PSOE en Andalucía, el crecimiento de @vox_es será inversamente proporcional al descalabro del partido naranja en el resto de España #PresidenciaAndaluzaARV</t>
  </si>
  <si>
    <t>Sant Joan de Vilatorrada, Espa</t>
  </si>
  <si>
    <t>Si la educación es cara, prueba con la ignorancia. #NiOlvidoNiPerdón #TabarniaIsNotCatalonia #PrisionPermanenteRevisableYa 🇪🇸</t>
  </si>
  <si>
    <t>DAKICUDOC</t>
  </si>
  <si>
    <t>Me parece sumamente triste que @CiudadanosCs y @Albert_Rivera contemplan pactar con Vox, un partido de ultra derecha. ¿El poder es tan atractivo que abandonen sus principios?</t>
  </si>
  <si>
    <t>Manhattan, NY</t>
  </si>
  <si>
    <t>ICU doctor and skeptic working in NYC, directing an academic ICU (trying to herd cats.) Tweets represent my own warped opinions, nothing to do with my employer.</t>
  </si>
  <si>
    <t>https://nyulangone.org/doctors/1629000849/david-a-kaufman</t>
  </si>
  <si>
    <t>Espero que @Albert_Rivera no Le dé ni agua a Susana Díaz ni al Psoe de Andalucía... Espero que no cometa ese error... Mi voto lo pierde, clarito esta. Y como yo creo que miles de españoles pensamos así. RT @almudenanegro: 👉 @JuanMa_Moreno "Si Ciudadanos salva a @susanadiaz, no podrá volver a Andalucía"  vía @elmundoes</t>
  </si>
  <si>
    <t>https://twitter.com/almudenanegro/status/1069861179571560448
https://www.elmundo.es/andalucia/2018/12/04/5c058a7621efa053238b470a.html</t>
  </si>
  <si>
    <t>Que @Albert_Rivera / #Ciudadanos esté dispuesto a pactar con #PP y #VOX en Andalucía dice mucho de sus principios, de sus valores, de su ego y de sus intenciones e inclinaciones políticas... Ya lo dice él; yo ya no lo digo</t>
  </si>
  <si>
    <t>Lo dice muy claro Puigdemont. La declaración de independencia, no es Simbólica!!!! Reconoce el golpe de Estado!! @Tabarniaenserio @GobiernoDeEspan @PoderJudicialEs @JuecesAPMCAT @sanchezcastejon @pablocasado_ @Albert_Rivera @Santi_ABASCAL</t>
  </si>
  <si>
    <t>https://pbs.twimg.com/media/Dtkc1unWsAIvkVk.jpg</t>
  </si>
  <si>
    <t>Carmen Prados</t>
  </si>
  <si>
    <t>Directo | Sánchez: "Albert Rivera debería escuchar más a Valls sobre Vox" #elconfidencial</t>
  </si>
  <si>
    <t>La Roda, Pedrera, Sevilla</t>
  </si>
  <si>
    <t>📲 #SoyPeriodista 👩🏽‍💻 #Journalist | #RedesSociales #MarketingDigital | #MarcaPersonal | #Comunicación y 50% en @casatconmigo 👰🏼 y @corazonAndaluci 🤘🏼</t>
  </si>
  <si>
    <t>http://www.carmenprados.com</t>
  </si>
  <si>
    <t>Francescalafresca</t>
  </si>
  <si>
    <t>Si @CiudadanosCs pacta nuevamente con @PSOE será su muerte política, tiene en su mano derribar un régimen de 40 años y eso es lo queremos los andaluces @Albert_Rivera #AndalucíaPorEspaña #EleccionesAndalucía</t>
  </si>
  <si>
    <t>Si no puedes convencerlos, confundelos</t>
  </si>
  <si>
    <t>Victor</t>
  </si>
  <si>
    <t>Como pacteis con socialistas para formar gobierno en Andalucía olvidaros de mi voto y de todos mis allegados, sentido común y no ser avariciosos tener paciencia @CiudadanosCs @Albert_Rivera @InesArrimadas #EquiparacionYa @Jupol_Barcelona @MGutierrezCs @sanchezcastejon @PSOE</t>
  </si>
  <si>
    <t>. 20m publica hoy miércoles en la edición impresa un especial sobre los 40 años de la Constitución Española 👉  y también en la web 👉  con artículos de sanchezcastejon, pablocasado_, Albert_Rivera y encarnas…</t>
  </si>
  <si>
    <t>Sant Feliu de Llobregat, Españ</t>
  </si>
  <si>
    <t>JUAN C MORCUENDE</t>
  </si>
  <si>
    <t>Yo también se los agradezco @Albert_Rivera. Hay que erradicar a los chavistas-maduristas de España. Entiéndanse @PartidoPSUV @PSOE @ahorapodemos. Ahora a la conquista de La Moncloa👍🏻 RT @Albert_Rivera: 🎥 No me canso de dar las gracias a todos los andaluces que han apoyado un cambio histórico para su tierra. Nos decían que era imposible pero después de casi 40 años vamos a desalojar al PSOE de la Junta para liderar un nuevo gobierno con nuevas personas y nuevas políticas.</t>
  </si>
  <si>
    <t>Julio Ganguita 🇪🇸</t>
  </si>
  <si>
    <t>Directo | Sánchez: "Albert Rivera debería escuchar más a Valls sobre Vox"</t>
  </si>
  <si>
    <t>https://www.elconfidencial.com/espana/2018-12-04/directo-pedro-sanchez-entrevista_1686582/</t>
  </si>
  <si>
    <t>Cabra, España</t>
  </si>
  <si>
    <t>La corrupción en España solo puede solucionarla el detective Colombo.</t>
  </si>
  <si>
    <t>Santa Ursula, España</t>
  </si>
  <si>
    <t>Gerente de Producción-Locutor en Mega LatinaFM en Tenerife , España. Voz de promociones de CANDELA PURA 91.9 FM Center.</t>
  </si>
  <si>
    <t>Con el veleta de @Albert_Rivera quedó claro en #Andalucia que @CiudadanosCs no vale para acabar con la corrupción de los sociatas sus socios enemigos de España, en las elecciones Municipales así como al Parlamento Europeo es de tenerlo muy claro.</t>
  </si>
  <si>
    <t>https://pbs.twimg.com/media/DtkYIabUwAUKtDy.jpg</t>
  </si>
  <si>
    <t>clodobaldo gonzalez</t>
  </si>
  <si>
    <t>las palmas de gran canaria</t>
  </si>
  <si>
    <t>Licenciatura Empresariales, Gestión de Empresas, Organización de sistemas de gestión en la actualidad jubilado, Naturopatia, Pintor Artístico y Figurativo</t>
  </si>
  <si>
    <t>http://www.alongarte.es</t>
  </si>
  <si>
    <t>Abajo podréis ver el candidato de #Vox con el que @Albert_Rivera y @pablocasado_ quieren pactar para echar al @PSOE de la Junta de #Andalucia. ¿Pacto con la ultraderecha acosta de ir en contra de derechos civiles y sociales? RT @FSerranoCastro: Desde luego lo que no hay son mujeres liberales que se proclamen putas, brujas y bolleras.Eso está reservado para piojosas d ultraizquierda</t>
  </si>
  <si>
    <t>edp ||★||🎗</t>
  </si>
  <si>
    <t>https://pbs.twimg.com/media/Dto0FlGXQAA9Thx.jpg</t>
  </si>
  <si>
    <t>.@Albert_Rivera diciendo que con unos resultados así, @susanadiaz debería irse para casa y yo que veo lo mismo que le pasó a @InesArrimadas en Catalunya el #21D .....</t>
  </si>
  <si>
    <t>Girona, Catalunya</t>
  </si>
  <si>
    <t>Ho veig tot tant clar que a vegades m'espanto!! Català, republicà i de Girona!</t>
  </si>
  <si>
    <t>http://edp.cat</t>
  </si>
  <si>
    <t>Valesia</t>
  </si>
  <si>
    <t>Tal cual querido amigo, y lo peor del caso, es que la sucia izquierda de siempre no termina de enter y aceptar el por qué la gente quiere un cambio radical y muy necesario, como es el caso de @vox_es @Santi_ABASCAL o @CiudadanosCs @Albert_Rivera @InesArrimadas fuerte abrazo. RT @Jose_M_Rivera_: @carmelodifazio @vox_es @Santi_ABASCAL El desmoronamiento de la izquierda comunistoide española se debe única y exclusivamente a los desmanes que ellos mismos llevan a cabo en los pocos feudos que controlan... Uno a uno irán cayendo y la estocada final se la llevarán en las elecciones generales de la próxima primavera</t>
  </si>
  <si>
    <t>Encuentro la televisión muy educativa. Cada vez que alguien la enciende, me retiro a otra habitación y leo un libro</t>
  </si>
  <si>
    <t>https://twitter.com/Jose_M_Rivera_/status/1069902279384403969</t>
  </si>
  <si>
    <t>José Miguel Bella</t>
  </si>
  <si>
    <t>Toma nota @Albert_Rivera RT @Tremending: El exlíder del Ku Klux Klan David Duke celebra el resultado de Vox en Andalucía</t>
  </si>
  <si>
    <t>https://twitter.com/Tremending/status/1069909126397001729
https://www.publico.es/tremending/2018/12/04/elecciones-andalucia-2018-el-exlider-del-ku-klux-klan-david-duke-celebra-el-resultado-de-vox-en-andalucia/?utm_source=twitter&amp;utm_medium=social&amp;utm_campaign=tremending</t>
  </si>
  <si>
    <t>https://pbs.twimg.com/media/DtkUq5aX4AEaskX.jpg</t>
  </si>
  <si>
    <t>Mediador Judicial ASEMED. Aragonés. Ciego; vivo entre Fuentes Claras (Teruel) y Altea (Alicante). 60 años. josemiguelbella@gmail.com Mi perro-Guia...KEROS</t>
  </si>
  <si>
    <t>VOX se ha convertido en la casa común de la derecha, José María Aznar ex presidente del PP le pide a Albert Rivera e Ines Arrimadas que vuelvan a casa por Navidad.</t>
  </si>
  <si>
    <t>… no nos podemos fiar del VELETA @Albert_Rivera … es de CENTRO IZQUIERDA !! … NUNCA pactará con el @PPopular !!! RT @mjgrech: Maldita Hemeroteca: cuando Cs se reunía con Podemos para investir a Pedro Sánchez. ¿Es peor Vox que Podemos? @CiudadanosCs</t>
  </si>
  <si>
    <t>https://twitter.com/mjgrech/status/1069894986496385025
https://elpais.com/politica/2016/04/05/actualidad/1459840049_933218.html</t>
  </si>
  <si>
    <t>Paloma 🇪🇸🇪🇸🇪🇸⚔️⚔️⚔️</t>
  </si>
  <si>
    <t>El partido de @Albert_Rivera hará exactamente igual q Pedro Sánchez si pacta en Andalucía con @PSOE y con @AdelanteAND , es decir, traicionar al pueblo andaluz. Dixi.</t>
  </si>
  <si>
    <t>Con los pies descalzos y el corazón contento</t>
  </si>
  <si>
    <t>Robert Martin</t>
  </si>
  <si>
    <t>Señores @pablocasado_ y @Albert_Rivera les regalo una reflexión en forma de pregunta .. Si el @PSOE actual, es el CENTRO IZQUIERDA, todo lo que esta a su derecha. ¿Que es? Me temo, que para los Progres, todos son de Extrema Derecha, los naranjas incluidos. 😄 🇪🇸</t>
  </si>
  <si>
    <t>La simple duda de con quién pactar de @CiudadanosCs @Albert_Rivera , despeja mis dudas para próximas elecciones ☝</t>
  </si>
  <si>
    <t>http://ver.20m.es/6aq4v1</t>
  </si>
  <si>
    <t>https://pbs.twimg.com/media/DtoyPm_XgAA4wuk.jpg</t>
  </si>
  <si>
    <t>Just because.</t>
  </si>
  <si>
    <t>Info-Entertainment  🇺🇸 🇻🇪 🇮🇹</t>
  </si>
  <si>
    <t>Explique esto Sr @Albert_Rivera !! Como es que prefiere entregar la gobernabilidad a los comunistas y separatistas? Si no nos unimos la izquierda toma el poder,ya es hora de pasar la pagina y crear una gran alianza por que la izquierda esta unida @Cs_Andalucia</t>
  </si>
  <si>
    <t>https://pbs.twimg.com/media/DtkRmVSW4AEgWQ_.jpg</t>
  </si>
  <si>
    <t>Colorado, USA</t>
  </si>
  <si>
    <t>MaKiNaWeR</t>
  </si>
  <si>
    <t>¿Porque el Ku klux klan felicite a Vox es sinonimo de k son lo mismo no? ¿¿¿Y cuando los ETARRAS se abrazan y se felicitan con Podemos son los de Podemos terroristas??? Pregunto....utilizando la misma vara de medir! @pablocasado_ .@vox_es @Albert_Rivera .@pabloiglesias</t>
  </si>
  <si>
    <t>Señores @pablocasado_ y @Albert_Rivera -- Quiero regalarles una reflexión profunda, meditada, trascendente y sincera. .... NO!! LA!! CAGUEN!!!! .... Por que, .. si la cagan .. la próxima, NO LOS VOTA NI SU MADRE 😄 🇪🇸 ...... ¡¡ANIMO!!</t>
  </si>
  <si>
    <t>AlbertoSeoane</t>
  </si>
  <si>
    <t>Ayer ni @sanchezcastejon @Albert_Rivera ni @Pablo_Iglesias_ pusieron ni un solo twit sobre el #diainternscionaldiscapacidad sin embargo con otros días como #DiaDelaMujer o #DiaDelOrgullo sus twiters explotan. ¿Me lo explican?</t>
  </si>
  <si>
    <t>Sant Cugat del Vallès, España</t>
  </si>
  <si>
    <t>Coruñes, 5° en los JJ.PP #rio2016 🏓🏓 economista por la UDC, coaching deportivo y empresarial 🥇Campeon del Mundo por equipos</t>
  </si>
  <si>
    <t>Juan López❤🎗💜👫👭👬</t>
  </si>
  <si>
    <t>Os acordáis de ésta firma entre @sanchezcastejon y @Albert_Rivera ?? Era el GRAN centrista progre , pues ya están todos juntos. Ya lo dijo el gran Lobby de las puertas giratorias F.GONZÁLEZ . En España ya están todos los partidos MONÁRQUICOS juntos</t>
  </si>
  <si>
    <t>https://pbs.twimg.com/media/DtkPVc9W0AAGVz6.jpg</t>
  </si>
  <si>
    <t>. 20m publica hoy miércoles en la edición impresa un especial sobre los 40 años de la Constitución Española 👉  y también en la web 👉  con artículos de sanchezcastejon, pablocasado_, Albert_Rivera y encarnasamitier</t>
  </si>
  <si>
    <t>República Española</t>
  </si>
  <si>
    <t>Antifascistas de Podemos , agnóstico y republicano, ¡¡NO!! a la VIOLENCIA MACHISTA , la revolución será #Feminista #NiUnaMenos</t>
  </si>
  <si>
    <t>https://pbs.twimg.com/media/DtovaYbW4AA1A2b.jpg</t>
  </si>
  <si>
    <t>Vicenç 🎗</t>
  </si>
  <si>
    <t>Hola @pablocasado_ y @Albert_Rivera, seréis capaces de pactar con Vox, después de que el ex-líder del KKK los haya felicitado?</t>
  </si>
  <si>
    <t>🌞 ¡Buenos días! Ven a celebra los #40Años 🎂 de nuestra 📖#ConstituciónEspañola🇪🇸 con @Albert_Rivera, @InesArrimadas y @manuelvalls mañana ☑Miércoles, 5 diciembre 🕖19:00 h 🚩Auditori Conservatorio Liceu de #Barcelona 👨👩¡Te esperamos!👵👴</t>
  </si>
  <si>
    <t>https://pbs.twimg.com/media/DtkO6JgWwAAFGVe.jpg</t>
  </si>
  <si>
    <t>ACB</t>
  </si>
  <si>
    <t>Aviso a navegantes, @Albert_Rivera @CiudadanosCs dejo caer a Rajoy @PPopular x ser un partido corrupto, pues vale, el ha mantenido el @PSOE el mayor partido corrupto de españa en Andalucía y parece ser lo mantendrá. Pregunto. Eso no hace a CS partícipe de esa corrupción ? 🤔 RT @GirautaOficial: Esta frase de Moreno Bonilla en ⁦@elmundoes⁩ de mañana. No, ⁦@JuanMa_Moreno⁩ . No vamos a salvar a Susana Díaz. Pero, ¿podría explicarnos por qué usa el verbo “volver”? Cs no va ni vuelve. Está en su tierra. Si no entiende eso, va a tener que reflexionar mucho.</t>
  </si>
  <si>
    <t>https://twitter.com/GirautaOficial/status/1069747039527940096</t>
  </si>
  <si>
    <t>https://pbs.twimg.com/media/DtiBQoWXcAAudHj.jpg</t>
  </si>
  <si>
    <t>Cordoba - Murcia. Apasionado del baloncesto y muy fan del equipo de mi ciudad. CBMURCIA ( UCAMMURCIA )</t>
  </si>
  <si>
    <t>Viejo taurino</t>
  </si>
  <si>
    <t>EL VELETA @Albert_Rivera @CiudadanosCs LO VA PAGAR MUY CARO COMO EN ESPAÑA CON ESOS MOVIMIENTOS QUE ESTÁ INSUNUANDO Q HACE EN ANDALUCÍA. VELETA NO TROPIECES, YA LO HICISTE, LO VAS HACER OTRA VEZ?? VELETA</t>
  </si>
  <si>
    <t>Torero de vocacion y de corazon,una vida entera ligada al mundo del toro, de izquierdas hasta que me hicieron de derechas los actuales “políticos de izquierdas”</t>
  </si>
  <si>
    <t>❇️ El dilema @Albert_Rivera : pedir apoyo al @PSOE para presidir la Junta o votar con la #Ultraderecha @vox_es y junto al #CorruPPto ppopular a las puertas de una larga campaña. -…</t>
  </si>
  <si>
    <t>https://www.instagram.com/p/Bq9k2G9gfbI/?utm_source=ig_twitter_share&amp;igshid=ckhwpnnfhxm2</t>
  </si>
  <si>
    <t>Buzzsarponera</t>
  </si>
  <si>
    <t>La idea de que los políticos tienen que mancharse las manos, mentir, pactar con el diablo, travestirse ideológicamente ya ha sido castigada por jueces y electores Albert Rivera, España y Europa  vía @elmundoes</t>
  </si>
  <si>
    <t>DEBBIE D</t>
  </si>
  <si>
    <t>me hace gracias q ahora @sanchezcastejon quiera q gobierne la formación con más votos con lo que pasó en Cataluña con @InesArrimadas @CiudadanosCs @PSOE @Albert_Rivera</t>
  </si>
  <si>
    <t>harta d corrupción, enchufismos y microsueldos. Really tired? not really... pissed off about corruption, politicians, low salaries. aborrecida com a corrupçao</t>
  </si>
  <si>
    <t>X_cat</t>
  </si>
  <si>
    <t>Vaya @InesArrimadas @Albert_Rivera,resulta que los supremacistas son vuestros compañeros de viaje en la extrema derecha.Poco a poco van cayendo las caretas.Gracias a Alemania ya no podéis hablar de golpe de Estado, y gracias a Duke ya no nos podéis llamar supremacistas #Andalucia RT @XSalaimartin: David Duke, líder SUPREMACISTA blanco y ex gran maestre del Ku Klux Klan, felicita a Vox por el resultado en Andalucía. Poco a poco, va quedando claro quienes son los supremacistas.</t>
  </si>
  <si>
    <t>https://twitter.com/XSalaimartin/status/1069893988646301696
https://twitter.com/DrDavidDuke/status/1069370522000130049</t>
  </si>
  <si>
    <t>Dóna veu al teu cantaire, llum als ulls i força al braç.</t>
  </si>
  <si>
    <t>Miguel Echeverría</t>
  </si>
  <si>
    <t>http://www.alertadigital.com/2018/12/03/la-insoportable-levedad-de-albert-rivera/</t>
  </si>
  <si>
    <t>Juan Alonso</t>
  </si>
  <si>
    <t>Cabalgando en un mundo donde los caballeros andantes son tomados por locos. Español, catolico, sedevacantista, en guerra con el Estado totalitario y el NOM.</t>
  </si>
  <si>
    <t>Menos bravatas y más inteligencia, @Albert_Rivera RT @Albert_Rivera: Los andaluces han votado cambio y habrá cambio. Sabemos que no será fácil llegar a acuerdos para llevarlo a cabo, pero lo vamos a conseguir. #21Ciudadanos</t>
  </si>
  <si>
    <t>http://Edicionescatolicas.org</t>
  </si>
  <si>
    <t>https://twitter.com/Albert_Rivera/status/1069590914690179072</t>
  </si>
  <si>
    <t>pic.twitter.com/l0a4sj0WXl</t>
  </si>
  <si>
    <t>Decididamente, soy TABARNÉS.</t>
  </si>
  <si>
    <t>Carmen Martín 🇪🇸 ن 💙</t>
  </si>
  <si>
    <t>Hola @Albert_Rivera, Me parece una forma un tanto peculiar de atacar al bipartidismo el aliarte con los dos.</t>
  </si>
  <si>
    <t>https://pbs.twimg.com/media/DtkMWA_XQAAsm-c.jpg</t>
  </si>
  <si>
    <t>Derecha dura, sin complejos. O sea, VOX. Creo en Dios, la familia, la libertad, el esfuerzo personal y la propiedad privada. Y no necesariamente por ese orden.</t>
  </si>
  <si>
    <t>Lo de @Albert_Rivera @JuanMarin_Cs y @CiudadanosCs es de circo, pero de circo de 3 pistas, ganan las elecciones en Cataluña y no tienen cojones de presentar la candidatura a formar gobierno, retiran el apoyo al @PSOE de @susanadiaz y ahora quieren pactar...</t>
  </si>
  <si>
    <t>El Cuarto Delantero</t>
  </si>
  <si>
    <t>Vox ha conseguido que Albert Rivera parezca una monja. Esto es lo jodidamente peligroso.</t>
  </si>
  <si>
    <t>ferpectamente</t>
  </si>
  <si>
    <t>El exlíder del Ku Klux Klan también está encantado con el triunfo de Vox en el parlamento andaluz, pero no porque sean nazis ni nada @pablocasado_, @Albert_Rivera. #AndaluciaAntifascista RT @DrDavidDuke: 🔴🗳️ VOX triumphs in Andalusia! 12 seats and the end of the socialist regime 🇪🇸 #EspañaViva makes it history and shows that change is possible. The Reconquista begins in the Andalusian lands and will be extended in the rest of Spain 📣 #AndalucíaPorEspaña</t>
  </si>
  <si>
    <t>Mayo del 77. Trabajador Social. Aprendiz de fotografía. Actor de pacotilla. Sufridor del RCD Mallorca y papá de Laia. Colaborador de http://Futbolmallorca.com</t>
  </si>
  <si>
    <t>El Bierzo</t>
  </si>
  <si>
    <t>Complicado eso de describirse.</t>
  </si>
  <si>
    <t>Spanish Kekistani 🇪🇸🐸</t>
  </si>
  <si>
    <t>#Ciudadanos desprecia a #VOX y empieza a coquetear con el #PSOE Andaluz (otra vez). Por lo visto, quien manda en Ciudadanos no es ni siquiera @Albert_Rivera sino un extranjero (@manuelvalls) que desconoce España. Pregunta: ¿habrá sorpasso de VOX a C’s en las próximas elecciones?</t>
  </si>
  <si>
    <t>http://dlvr.it/Qss9Dp</t>
  </si>
  <si>
    <t>Kingdom of Kekistan</t>
  </si>
  <si>
    <t>Veterano de las Meme Wars - 🐸 KEK - Nacionalista 🇪🇸 #Spexit - Ofensor de ofendiditos</t>
  </si>
  <si>
    <t>https://pbs.twimg.com/media/DtolWIKU8AAFUNJ.jpg</t>
  </si>
  <si>
    <t>Muy acertado comentario demuestra la necesidad de análisis y reflexión no buscando excusas fuera de su propia política. @Albert_Rivera RT @vgomezfrias: Soy militante del PSOE y rechazo esta frase de Ábalos: "la derecha española le ha abierto la puerta a la extrema derecha". Es imprescindible que veamos el error de haber negado el centro, para intentar empotrar a Ciudadanos en la derecha y justificar pactos con nacionalpopulistas</t>
  </si>
  <si>
    <t>Vicent Bol i Touchè</t>
  </si>
  <si>
    <t>A por otros 40 años ...</t>
  </si>
  <si>
    <t>https://twitter.com/vgomezfrias/status/1069361717019324416</t>
  </si>
  <si>
    <t>Homowifi. Sigo a Dios y a Satanás para conocer las dos versiones.</t>
  </si>
  <si>
    <t>Albert Rivera 39 años, Presidente de CIUDADANOS C¨S, desde 2006 en la política</t>
  </si>
  <si>
    <t>https://pbs.twimg.com/media/Dtok2QeXgAAY-4r.jpg</t>
  </si>
  <si>
    <t>Ven mañana a celebrar los 40 años de constitucionalismo en España con @Albert_Rivera, @InesArrimadas y @manuelvalls</t>
  </si>
  <si>
    <t>https://pbs.twimg.com/media/DtkKyeOW4AA5Ibt.jpg</t>
  </si>
  <si>
    <t>JMLechuga</t>
  </si>
  <si>
    <t>Los nuevos amigos de @JuanMarin_Cs y @Albert_Rivera. Viaje con el KKK y disfrutará... Pactar con la extrema derecha es muy de centro. RT @DrDavidDuke: 🔴🗳️ VOX triumphs in Andalusia! 12 seats and the end of the socialist regime 🇪🇸 #EspañaViva makes it history and shows that change is possible. The Reconquista begins in the Andalusian lands and will be extended in the rest of Spain 📣 #AndalucíaPorEspaña</t>
  </si>
  <si>
    <t>https://twitter.com/drdavidduke/status/1069370522000130049
https://twitter.com/voxnoticias_es/status/1069342275048742912</t>
  </si>
  <si>
    <t>Sevilla, Madrid</t>
  </si>
  <si>
    <t>Soy mis circunstancias #Sevilla #SocialMedia #nankurunaisa #PlántaleCara #HicSuntDracones #VideoEtTaceo</t>
  </si>
  <si>
    <t>http://www.jmlechuga.es</t>
  </si>
  <si>
    <t>Jóvenes Cs</t>
  </si>
  <si>
    <t>📖 Este Miércoles ven a celebrar los 40 años de constitucionalismo con: 🍊@manuelvalls 🍊@Albert_Rivera 🍊@InesArrimadas 🕖 Te esperamos a partir de las 19:00h en #Barcelona</t>
  </si>
  <si>
    <t>https://pbs.twimg.com/media/DtkJ__wW0AA9tsB.jpg</t>
  </si>
  <si>
    <t>Perfil oficial de la Secretaría de Juventud de @CiudadanosCs- Partido de la Ciudadanía</t>
  </si>
  <si>
    <t>#España Teodoro García critica las "reticencias" de Ciudadanos para apoyar al @PPopular cuando hace cuatro años no las tuvo con el @PSOE @Albert_Rivera @CiudadanosCs</t>
  </si>
  <si>
    <t>http://www.lacerca.com/noticias/espana/teodoro-garcia-ciudadanos-apoyar-pp-cuatro-anos-psoe-447823-1.html</t>
  </si>
  <si>
    <t>Todo el mundo sabía que el señor @Albert_Rivera tenia la picha hecha un lio, después de lo de Andalucía y sus declaraciones tengo dudas de que tenga picha, es lo que tiene vivir en la ambigüedad, salga del armario político de una vez, ponga sus atributos sobre la mesa.</t>
  </si>
  <si>
    <t>Raúl del Pozo Page</t>
  </si>
  <si>
    <t>Mi artículo de hoy. Albert Rivera, España y Europa  vía @elmundoes</t>
  </si>
  <si>
    <t xml:space="preserve">En el ruido de la calle </t>
  </si>
  <si>
    <t>Periodista. Escritor. Columnista de EL MUNDO</t>
  </si>
  <si>
    <t>Cs Sabadell</t>
  </si>
  <si>
    <t>44 44 000000 44 44 00 00 444444 00 00 44 00 00 44 000000 AÑOS 🎂 🇪🇸de CONSTITUCIONALISMO🇪🇸 🍊Celébralos con @Albert_Rivera @InesArrimadas @manuelvalls 📆 5 diciembre ⏰19.00 h. 📌Auditori Liceu Nou de la Rambla 82 (BCN)</t>
  </si>
  <si>
    <t>https://pbs.twimg.com/media/DtkFoc-X4AARAf6.jpg</t>
  </si>
  <si>
    <t>Blog de Juan Pardo</t>
  </si>
  <si>
    <t>¿Por qué Albert Rivera se saltó “el registro” del control de seguridad del aeropuerto del Prat? El maletín portaba más de 2 millones de euros y 800 gramos de cocaína –gran pureza-</t>
  </si>
  <si>
    <t>https://blogdejuanpardo.blogspot.com/2018/12/por-que-albert-rivera-se-salto-el.html</t>
  </si>
  <si>
    <t>Sabadell</t>
  </si>
  <si>
    <t>Twitter oficial de la Agrupación de Ciutadans (C's) de Sabadell - Twitter oficial de l'Agrupació de Ciutadans (C's) de Sabadell</t>
  </si>
  <si>
    <t>https://pbs.twimg.com/media/Dtoh2RBXcAAEtWO.jpg</t>
  </si>
  <si>
    <t>http://sabadell.ciudadanos-cs.org</t>
  </si>
  <si>
    <t>Almería (España)</t>
  </si>
  <si>
    <t>Como casi todos, depués de nacer me hice hombre. Como hombre me casé y tengos dos hijos. ¿Qué más puedo contar? Ya me iréis conociendo.</t>
  </si>
  <si>
    <t>http://blogdejuanpardo.blogspot.com/</t>
  </si>
  <si>
    <t>Sr. @Albert_Rivera, cuidado!!! PSOE, está hundido por pactar con nacionalistas, populistas, etarras e independentistas. Recuerde, no....es no..La bipolaridad se paga.</t>
  </si>
  <si>
    <t>https://pbs.twimg.com/media/DtkFnfhWsAAtxiF.jpg</t>
  </si>
  <si>
    <t>http://dlvr.it/Qss7VK</t>
  </si>
  <si>
    <t>https://pbs.twimg.com/media/DtohrvOU4AA_qbN.jpg</t>
  </si>
  <si>
    <t>david arco</t>
  </si>
  <si>
    <t>Si @CiudadanosCs pacta en Andalucía con @PSOE tristemente desaparecerá como opción ... @Albert_Rivera . No se puede gobernar a cualquier precio</t>
  </si>
  <si>
    <t>...Baloncesto por vocación y economía por obligación...No sé dónde voy ....ni me importa....</t>
  </si>
  <si>
    <t>Zepol54</t>
  </si>
  <si>
    <t>Albert Rivera, España y Europa vía @elmundo_orbyt</t>
  </si>
  <si>
    <t>http://bit.ly/2zCtY5V</t>
  </si>
  <si>
    <t>❌ Andalucía dijo #STOPSánchez ayer. 🗳 Es el momento de convocar elecciones generales. 👉 El sanchismo debe ser un breve paréntesis negativo en la historia de España. 📽 ¡Te lo cuenta @Albert_Rivera!</t>
  </si>
  <si>
    <t>pic.twitter.com/mW2rV19MdX</t>
  </si>
  <si>
    <t>Miguel Angel Vigo</t>
  </si>
  <si>
    <t>En Andalucía es hora de cambio y levantar las alfombras sin complejos!!! @CiudadanosCs @Albert_Rivera @InesArrimadas como entréis al gobierno pidiendo el apoyo del @psoedeandalucia y la abstencion de las ratas lo vais a pagar muy caro... #VELETASNARANJAS</t>
  </si>
  <si>
    <t>Suerte y al toro!!!!!</t>
  </si>
  <si>
    <t>http://ramblalibre.com/2018/12/05/pedro-j-ramirez-obsesionado-contra-vox-impone-sus-criterios-a-albert-rivera/#.XAdmjoBkH3o.twitter</t>
  </si>
  <si>
    <t>José de Isasa</t>
  </si>
  <si>
    <t>Fenomenal. Os presento a @DrDavidDuke, ex “gran Mago” del KKK (si, kukuxklan), antisemita confeso, racista y parece que ahora interesado en la política española. No se ustedes, pero yo tengo miedo. @CiudadanosCs @PPopular @pablocasado_ @Albert_Rivera #NOSEPUEDE #NOTODOVALE RT @DrDavidDuke: 🔴🗳️ VOX triumphs in Andalusia! 12 seats and the end of the socialist regime 🇪🇸 #EspañaViva makes it history and shows that change is possible. The Reconquista begins in the Andalusian lands and will be extended in the rest of Spain 📣 #AndalucíaPorEspaña</t>
  </si>
  <si>
    <t>Me molan la comunicación, la TV y la gastronomía. DirCom de @ShineIberia. Ayudando a negocios gastro a crecer con @eatableadv. Orgulloso ex @el_pais y ex @prisa</t>
  </si>
  <si>
    <t>http://joseisasa.com</t>
  </si>
  <si>
    <t>Hoy miércoles se publica con la edición impresa de 20m el especial 'La Constitución de la libertad', sobre los 40 años de la Carta Magna. Con artículos de Pedro SanchezCastejon , pablocasado_ , Albert_Rivera , Íñigo ierrejon y más firmas.</t>
  </si>
  <si>
    <t>gerardo tecé</t>
  </si>
  <si>
    <t>Mirad, @pablocasado_ y @Albert_Rivera: el líder del Ku Klux Klan durante los años 70 felicita a @vox_es por su resultado en Andalucía. Qué despistado. Debe de pensar que se trata de un partido fascista o algo. RT @DrDavidDuke: 🔴🗳️ VOX triumphs in Andalusia! 12 seats and the end of the socialist regime 🇪🇸 #EspañaViva makes it history and shows that change is possible. The Reconquista begins in the Andalusian lands and will be extended in the rest of Spain 📣 #AndalucíaPorEspaña</t>
  </si>
  <si>
    <t>https://pbs.twimg.com/media/DtoPYNSWwAEtUVs.jpg</t>
  </si>
  <si>
    <t>Modelo y actriz. Periférico. Escribo, pinto y coloreo en @ctxt_es, @LateMotivCero y @AgenciaPlop. Quejas a: gerardo.tece@gmail.com IG: http://instagram.com/gerardotece.ig</t>
  </si>
  <si>
    <t>https://www.facebook.com/tece.gerardo</t>
  </si>
  <si>
    <t>Es amticonstitucional de la A a la Z y el @PPopular y @Cs_Andalucia dándole alas. ¿No sois constitucionalistas @Albert_Rivera y @JuanMa_Moreno ? RT @VickyRosell: Leo en programa de“Justicia”de VOX: -Derogación “leyes de género” -Depuración de responsabilidades a quienes, desde el estado o desde las fuerzas de seguridad, hayan negociado y pactado con terroristas. -Supresión del T. Constitucional -Eliminación del jurado. -Cadena perpetua.</t>
  </si>
  <si>
    <t>https://twitter.com/VickyRosell/status/1069863993622310912</t>
  </si>
  <si>
    <t>àngels</t>
  </si>
  <si>
    <t>acabo de meter una foto de albert rivera en el orgullo rodeado de banderitas lgbt en un powerpoint para una exposición de la uni</t>
  </si>
  <si>
    <t>budapest</t>
  </si>
  <si>
    <t>nobody likes you when you're 23</t>
  </si>
  <si>
    <t>https://www.goodreads.com/user/show/59730922-ngeles</t>
  </si>
  <si>
    <t>Albert Rivera ve su pacto en peligro por el acercamiento del PSOE a Podemos Grave crisis en Podemos 🔔 JORNADA DE REFLEXIÓN, ☑️ AUTODETERMINACIÓN –</t>
  </si>
  <si>
    <t>Desde la barrera todo suele verse más fácil pero hay veces q el error d un político es tan evidente q emperrarse en una cagada es casi pueril! @JuanMa_Moreno será el nuevo Presidente d la Junta y @Albert_Rivera debería saberlo. Cuanto antes lo acepte, mejor para él y para todos!</t>
  </si>
  <si>
    <t>https://goo.gl/JzNVUu?kds67=1299685802</t>
  </si>
  <si>
    <t>El PSOE corrupto de Judas Sánchez convertida en la ramera fornica con los mercenarios comunistas Podemos y los golpistas enemigos declarados de España y con los terroristas ETA. Ahora le hace guiños a Albert Rivera para meterlos en la misma cama. @FJL_EsRadio @monasterioR</t>
  </si>
  <si>
    <t>https://pbs.twimg.com/media/Dtnv9dFVsAALpDf.jpg</t>
  </si>
  <si>
    <t>Falsas encuestas del 20 D ¿Con quién pactará Albert Rivera 🔗 judicial, 📣 por medio de las leyes electorales,</t>
  </si>
  <si>
    <t>Si @Albert_Rivera aún no se ha dado cuenta del error táctico tan grave q supone el empecinamiento d @JuanMarin_Cs y la fuga d votos en toda España q esto le está costando, es q es mas torpe d lo q creia. Q @InesArrimadas @begonavillacis @lugaricano etc le abran los ojos o caerán</t>
  </si>
  <si>
    <t>https://goo.gl/1rykpX?xzi68=906349138</t>
  </si>
  <si>
    <t>Eva Durán</t>
  </si>
  <si>
    <t>Ciudadanos y PSOE se ofrecen para gobernar ajenos al mandato de las elecciones andaluzas  vía @abcdesevilla Era lo esperado, @Albert_Rivera y su partido siempre han estado situados del lado izquierdo, su ideología y ambición son como @sanchezcastejon</t>
  </si>
  <si>
    <t>https://sevilla.abc.es/elecciones/andalucia/sevi-elecciones-andalucia-2018-ciudadanos-y-psoe-ofrecen-para-gobernar-ajenos-mandato-elecciones-andaluzas-201812040014_noticia.html#ns_campaign=amp-rrss-inducido&amp;ns_mchannel=abcdesevilla-es&amp;ns_source=tw&amp;ns_linkname=noticia.video&amp;ns_fee=0</t>
  </si>
  <si>
    <t>Ex-Diputada Congreso Presidenta del @ppvallecas. Comprometida con el proyecto ideológico del @PPopular en defensa de la vida, la familia y la dignidad humana</t>
  </si>
  <si>
    <t>https://micolumnablog.wordpress.com</t>
  </si>
  <si>
    <t>Uno se queda perplejo con las contradicciones de @CiudadanosCs @Albert_Rivera @InesArrimadas ganan las elecciones en #Catalunya y son incapaces de intentar forzar un gobierno. Quedan terceros en #Andalucia y piden la presidencia. Donde está aquello de respetar la lista + votada</t>
  </si>
  <si>
    <t>Nelson Maica C</t>
  </si>
  <si>
    <t>Albert Rivera, España y Europa El Mundo-hace 6 minutos Cuando el poder queda a la intemperie y llaman al botín, los partidos se lanzan al reparto como la soldadesca después de la victoria. En Andalucía ningún ...</t>
  </si>
  <si>
    <t>Lic en Ciencias Politicas y Administrativas, Politologia, UCV.- Naturaleza, Tradicion, Cultura.-</t>
  </si>
  <si>
    <t>Así de Fácil, los colaboradores del Régimen, quieren lavarle la cara a Maduro, estos Falsantes no son ningunos Demócratas, son unos Genocidas de los Venezolanos! @Rumbo_Libertad @MariaCorinaYA @IvanDuque @jairbolsonaro @beatrizbecerrab @AlvaroUribeVel @Albert_Rivera</t>
  </si>
  <si>
    <t>https://pbs.twimg.com/media/Dtj_Ep3X4AAjqfg.jpg</t>
  </si>
  <si>
    <t>cocoom strikes back</t>
  </si>
  <si>
    <t>Buenos días @Albert_Rivera Cada vez que dejáis sacar a pasear la sinhueso a @manuelvalls, además de estar creando miles de fachas (según la definición de La izMierda) desaparece un trébol de cuatro hojas del universo y se aleja el regreso de los unicornios. Que achante la mui</t>
  </si>
  <si>
    <t>Huyendo de La MERMA</t>
  </si>
  <si>
    <t>🇪🇸</t>
  </si>
  <si>
    <t>jose jgnacio</t>
  </si>
  <si>
    <t>Un analisis d las #EleccionesAndalucía q no , asesoramiento, a los partidos es q #cs y @Albert_Rivera son la pieza clave del engranaje y q si lo votaron es por un programa y para q gobiernen, pues a negocar :1) q te apoya el #psoe sin entrar en el gobierno para influir, doblemnte</t>
  </si>
  <si>
    <t>nihil satis nisi optimun</t>
  </si>
  <si>
    <t>Peperufo</t>
  </si>
  <si>
    <t>Circula este video de una impresentable, posiblemente votante de VOX, que ha dejado su sello racista en un establecimiento de Archena (Murcia). A ver si Albert Rivera se lo piensa 2 veces antes de pactar con semejante calaña. De Casado no espero nada.</t>
  </si>
  <si>
    <t>pic.twitter.com/YpWOPgyabl</t>
  </si>
  <si>
    <t>Miguel Ángel Ordóñez</t>
  </si>
  <si>
    <t>Entiendo que todo es humo político y que @Albert_Rivera y @CiudadanosCs ni van a buscar el apoyo de PSOE y Podemos ni van a impedir el acuerdo de centro derecha porque de lo contrario pueden ir despidiéndose de la política. Así de sencillo lo vemos los andaluces.</t>
  </si>
  <si>
    <t>Aborrezco la manipulación y la mentira. Me sublevo contra la equidistancia, la demagogia y el populismo. Me desahogo en esta cuenta. Socialdemócrata.</t>
  </si>
  <si>
    <t>Los retuiters</t>
  </si>
  <si>
    <t>(@gabrielrufian) : Lo de la ultraderecha en España es culpa de Catalunya. Porque Aznar, Losantos, Sánchez Dragó, C’s, Herrera, OkDiario, Rosa Díez, Javier Negre, La Razón, Albert Rivera, Pablo Casado, Fernández Díaz, Trillo, el ABC y El Mundo eran de izquierdas hasta antes de aye</t>
  </si>
  <si>
    <t>Ubrique - Cádiz 🇪🇸</t>
  </si>
  <si>
    <t>Fotógrafo | En otro orden de cosas: Egiptólogo frustrado y estudiante de Desarrollo de Aplicaciones Multiplataforma. 📸 http://instagram.com/maikuls</t>
  </si>
  <si>
    <t>http://www.miguelangelordonez.com</t>
  </si>
  <si>
    <t>Reflexionen @Albert_Rivera y @JuanMarin_Cs acerca de la magra ganancia y de la enorme pérdida potencial con su alianza con un subpartido exangüe, que solo representa a un régimen clientelar, cuñadista, nepotista y ombliguista. RT @JfernandezUpo: @frelimpio</t>
  </si>
  <si>
    <t>https://twitter.com/JfernandezUpo/status/1069877501437100039
https://twitter.com/TeoGarciaEgea/status/1069627015291121667</t>
  </si>
  <si>
    <t>Iñaki Beristain</t>
  </si>
  <si>
    <t>Top story: Directo | Sánchez: Albert Rivera debería escuchar más a Valls sobre Vox , see more</t>
  </si>
  <si>
    <t>https://www.elconfidencial.com/espana/2018-12-04/directo-pedro-sanchez-entrevista_1686582/
http://tweetedtimes.com/InakiBeristain?s=tnp</t>
  </si>
  <si>
    <t>Tratando de no quedarme, de identificar oportunidades y formas de contribuir a mejorar el entorno</t>
  </si>
  <si>
    <t>http://www.i-beristain.com</t>
  </si>
  <si>
    <t>Los Fosfonautas📻🇪🇸</t>
  </si>
  <si>
    <t>El serio toque de atención de @CarlosHerreracr a @Albert_Rivera por Andalucía</t>
  </si>
  <si>
    <t>https://www.cope.es/a/589578</t>
  </si>
  <si>
    <t>Perfil de los Fosfonautas, Fans de @CarlosHerreracr y su programa @HerreraenCOPE https://www.facebook.com/Fosfonautascarlosherrera/</t>
  </si>
  <si>
    <t>http://losfosfonautas.blogspot.com.es/</t>
  </si>
  <si>
    <t>Live</t>
  </si>
  <si>
    <t>⏭️@pablocasado y @Albert_Rivera si pactan con @vox_es pactan con👇 📌Derogación d la ley de violencia d género 👉suspensión organismos feministas 📌Contra la ley actual del aborto 📌Derogación de la ley de memoria histórica 📌Defensa d tauromaquia y caza. #PSOETUFUTURO #GPEDROSC</t>
  </si>
  <si>
    <t>Tractor ioputa parlanchín.</t>
  </si>
  <si>
    <t>Soy yo solo o Pablo Casado cada vez se parece más a Albert Rivera?</t>
  </si>
  <si>
    <t>https://pbs.twimg.com/media/Dtj792HXcAAraE-.jpg</t>
  </si>
  <si>
    <t>De izquierdas/Republicana/Luchadora.</t>
  </si>
  <si>
    <t>En el coraçao de auronplay</t>
  </si>
  <si>
    <t>Esencia posible. Absoluto. Ecléctico. A mi dame café, que de lo demás no me acuerdo.</t>
  </si>
  <si>
    <t>https://curiouscat.me/Fennyx101</t>
  </si>
  <si>
    <t>💊Fran Aspirina</t>
  </si>
  <si>
    <t>Si @CiudadanosCs busca apoyo en @PSOE para gobernar, que va a diferenciarlo de estos últimos ? Busco un cambio pero que me ayuden los que han estado 40 años masacrando Andalucia hasta la saciedad. Ojo con esto @Albert_Rivera que puede pasaros factura en las municipales y demás.</t>
  </si>
  <si>
    <t>ciudad jardin (Malaga)</t>
  </si>
  <si>
    <t>Malagueño,enamorado de Málaga y del MálagaCF. Tuiteo lo que pienso sin mordazas. Técnico de Farmacia en Málaga capital.</t>
  </si>
  <si>
    <t>Pequetina 🇪🇸</t>
  </si>
  <si>
    <t>Eres un PUTO FRAUDE @Albert_Rivera tú partido y tú habéis sembrado mierda por toda España (municipales) y lo vais a pagar en las Generales</t>
  </si>
  <si>
    <t>Noroeste de Madrid- España</t>
  </si>
  <si>
    <t>Cañera y borde. Crié fama y me eché a dormir. Amo la novela negra. Adoro la Legión. Ya no cumplo años</t>
  </si>
  <si>
    <t>Enhorabuena @pablocasado_, @Albert_Rivera, no todos los socios de pacto son felicitados por el "Gran Mago" del Ku Klux Klan. RT @DrDavidDuke: 🔴🗳️ VOX triumphs in Andalusia! 12 seats and the end of the socialist regime 🇪🇸 #EspañaViva makes it history and shows that change is possible. The Reconquista begins in the Andalusian lands and will be extended in the rest of Spain 📣 #AndalucíaPorEspaña</t>
  </si>
  <si>
    <t>Luna2424</t>
  </si>
  <si>
    <t>https://www.elconfidencial.com/espana/2018-12-04/directo-pedro-sanchez-entrevista_1686582/?utm_campaign=BotoneraWebapp&amp;utm_source=twitter&amp;utm_medium=social</t>
  </si>
  <si>
    <t>La DOCTRINA de ALBERT RIVERA La NADA ✔️ PENTECOSTÉS POLÍTICO, 🌎 Asonada,</t>
  </si>
  <si>
    <t>https://goo.gl/bqkmH3?mlq25=1159059138</t>
  </si>
  <si>
    <t>🌹 Socialdemócrata 🇪🇺</t>
  </si>
  <si>
    <t>Este tuit de Albert Rivera mola mazo. Por un lado le contestan q si deja gobernar al PSOE está muerto. Y por otro lado que si apoya al PP con Vox será su defunción política. Bienvenido a la política de responsabilidad Albert, ahora a mirar x el interés de Andalucía no x el tuyo. RT @Albert_Rivera: El Sr Sánchez es un lince en esta afirmación... Pero la realidad es que se ha aliado con ellos para ocupar la Moncloa y ha roto todos los puentes con los constitucionalistas.</t>
  </si>
  <si>
    <t>https://twitter.com/Albert_Rivera/status/1070034753485762565
https://twitter.com/europapress/status/1070024083801300994</t>
  </si>
  <si>
    <t>MAD, Estados Unidos de Europa</t>
  </si>
  <si>
    <t>Frente a la mentira y la demagogia de la política rancia española representada por Vox, PP y Podemos, No a #PPodemos. 🇪🇺 PSOE</t>
  </si>
  <si>
    <t>Jesús Turmo</t>
  </si>
  <si>
    <t>La euforia de @Albert_Rivera respecto al #tripartito con @vox_es y @PPopular en Andalucía no la comparte en absoluto el candidato de @CiudadanosCs al @bcn_ajuntament, @manuelvalls. Considera a @Santi_ABASCAL "populismo de extrema derecha" RT @manuelvalls: La extrema derecha ha emergido en España. Ahora más que nunca es el momento de la responsabilidad y de recuperar el centro político. Pactos inteligentes, moderados y con sentido común, por el futuro de #España y de #Europa.</t>
  </si>
  <si>
    <t>https://twitter.com/manuelvalls/status/1069646817783099392?s=19
https://www.lavanguardia.com/politica/20181203/453315811270/valls-pide-moderacion-y-pactos-inteligentes-tras-la-irrupcion-de-vox.html</t>
  </si>
  <si>
    <t>Barcelona. Nou Barris</t>
  </si>
  <si>
    <t>La izquierda es logística, la derecha es márketing</t>
  </si>
  <si>
    <t>Cada dia q pasa sin q @CiudadanosCs @Albert_Rivera rectifique, miles de votos q pierde. Este empecinamiento queriendo la Presidencia, incluso aliandose con los amigos d bilduetarras y naZis catalanes no es muy apropiado. Y pretender q esos le dejarán levantar alfombras es...callo</t>
  </si>
  <si>
    <t>#VuelveprontoMou</t>
  </si>
  <si>
    <t>Lo tengo claro. @Albert_Rivera es como el Cholo @Simeone. En los momentos importantes (en la moción de censura o ahora en Andalucía), se equivoca y es capaz de perder cosas muy grandes. Un buen segundón.</t>
  </si>
  <si>
    <t>Peña Mourinhista de Bogotá. El mejor entrenador del Mundo. Gracias por lo que diste al Real Madrid. #vuelveprontoMou</t>
  </si>
  <si>
    <t>Más comentados ahora en Derecha/Centro Dcha.: ➀ @Santi_ABASCAL ↑ ➁ @CristinaSegui_ ↓ ➂ @Albert_Rivera ↓ ➃ @vox_es ↑ ➄ @PPopular ↑↑ ➅ @sanchezcastejon ↑ ➆ @JosPastr ↓ ➇ @PSOE ↑ ➈ @AntonioRNaranjo ↑ ➉ @ahorapodemos ↑</t>
  </si>
  <si>
    <t>F.A.G.G.U.</t>
  </si>
  <si>
    <t>#ElCascabel4D Carmelo encinas que sepas que la plataforma albaceteña de simpatizantes de ciudadanos y en particular de Albert Rivera preferimos la alianza con PP y Vox apuntanos Carmelo</t>
  </si>
  <si>
    <t>ESPAÑA Planeta Tierra</t>
  </si>
  <si>
    <t>queremos dejar un planeta mejor para nuestros hijos y quizás deberíamos dejar mejores hijos para el planeta</t>
  </si>
  <si>
    <t>http://notengoweb.com</t>
  </si>
  <si>
    <t>❌ Andalucía dijo #STOPSánchez. 🗳 Es el momento de convocar elecciones generales. 👉 En Cs lideraremos el constitucionalismo del siglo XXI para acabar con el paréntesis negativo del #Sanchismo. 📽 ¡Te lo cuenta @Albert_Rivera!</t>
  </si>
  <si>
    <t>pic.twitter.com/hNak6AtrLd</t>
  </si>
  <si>
    <t>Albert Rivera en VI Escuela de Verano DENAES 2012 🔉 ORGANIZAR LA VALENTIA,</t>
  </si>
  <si>
    <t>https://youtu.be/V9YYQDqha-Q?etp74=1516272514</t>
  </si>
  <si>
    <t>Javier Aroca Alonso</t>
  </si>
  <si>
    <t>Podría darse el caso que Pablo Casado y Albert Rivera hablaran francés RT @lemondefr: Editorial | « L’alternance politique en Andalousie ne doit pas passer par la banalisation de l’extrême droite. Moins encore par une forme d’adhésion à son programme »</t>
  </si>
  <si>
    <t>gonzalo_#sosprisiones</t>
  </si>
  <si>
    <t>Para #sosprisiones CERO EUROS @eduardoinda @pacomarhuenda @hermanntertsch @isanseba @ErnestoEkaizer @CristinaSegui_ @JuanraLucas @ExpositoCOPE @linternacope @LaTardeCOPE @BrujulaOndaCero @MVTARDE @larazon_es @okdiario @abc_es @pablocasado_ @Albert_Rivera</t>
  </si>
  <si>
    <t>https://twitter.com/lemondefr/status/1069935890322112513
https://lemde.fr/2Ud2oEZ</t>
  </si>
  <si>
    <t>https://elpais.com/politica/2018/12/03/actualidad/1543834810_981190.html</t>
  </si>
  <si>
    <t>Sevilla/Andalusía/La Tierra</t>
  </si>
  <si>
    <t>Me licencié en Derecho,Antropología y Árabe. Republicano y federalista. Opino en @Hora25 , @CanalSur y @DebatAlRojoVivo. Escribo en @eldiarioes y @elperiodico</t>
  </si>
  <si>
    <t>#sosprisiones</t>
  </si>
  <si>
    <t>El líder del PSOE atribuye el éxito de Vox a la "debilidad" de Pablo Casado y Albert Rivera, pide una "reflexión" a Susana por su derrota y confirma que...</t>
  </si>
  <si>
    <t>https://www.esdiario.com/300249333/Sanchez-da-lecciones-al-PP-y-Cs-sobre-socios-indeseables-en-el-colmo-del-descaro.html</t>
  </si>
  <si>
    <t>Tú @Albert_Rivera tienes esa decisión pero juegala de legal no necesitas del trile 😉 RT @doguionrego: Me se olvidaba algo fundamental @Albert_Rivera a lo mejor que interesa ser el nuevo socialismo y entonces todo está escrito 😃</t>
  </si>
  <si>
    <t>https://twitter.com/doguionrego/status/1069876970404659200
https://twitter.com/doguionrego/status/1069870316707594240</t>
  </si>
  <si>
    <t>Me se olvidaba algo fundamental @Albert_Rivera a lo mejor que interesa ser el nuevo socialismo y entonces todo está escrito 😃 RT @doguionrego: Tienes a este @JuanMarin_Cs de trepas por Andalucía y al @CiudadanoVille tanteado las extremidades del cambiar todo para no cambiar nada 🙌 No te quemes Albert</t>
  </si>
  <si>
    <t>Canarias Single Club</t>
  </si>
  <si>
    <t>https://twitter.com/doguionrego/status/1069870316707594240
https://twitter.com/doguionrego/status/1069868807752220672</t>
  </si>
  <si>
    <t>http://singlesclubdetenerife.bligoo.es/</t>
  </si>
  <si>
    <t>Atencion votantes de @CiudadanosCs desencantados por el matrimonio con @Santi_ABASCAL . A @InesArrimadas y @Albert_Rivera se les cae la careta. Unamonos y hablemos en elmettleon@gmail.com. Después ya creamos cuentas Twitter y Facebook. No somos pro-@PSOE #AndaluciaAntifascista</t>
  </si>
  <si>
    <t>Adrián Galdos</t>
  </si>
  <si>
    <t>Buenos días @Albert_Rivera @pablocasado_ os podría dar muchas razones por la que el @PSOE debería estar en la oposición en Andalucía. Sólo os diré que Andalucía después de 40 años de Gob socialista, se merece crecer con un gobierno de liberal y Español. Escuchad a @vox_es</t>
  </si>
  <si>
    <t>Este miércoles se publica con la edición impresa de 20m el especial 'La Constitución de la libertad', sobre los 40 años de la Carta Magna. Con artículos de Pedro SanchezCastejon , pablocasado_ , Albert_Rivera , Íñigo ierrejon y más firmas.</t>
  </si>
  <si>
    <t>https://pbs.twimg.com/media/Dtm3QfkWsAEPeGe.jpg</t>
  </si>
  <si>
    <t xml:space="preserve">El Universo </t>
  </si>
  <si>
    <t>Nueva cuenta y energía a tope!! BASTA YA de impuestos. Menos gastos, menos administración, menos despilfarro y más protección a los mayores.</t>
  </si>
  <si>
    <t>Jesus Guillén</t>
  </si>
  <si>
    <t>Sánchez: "Albert Rivera debería escuchar más a Valls sobre Vox"</t>
  </si>
  <si>
    <t>Fernando Altamirano</t>
  </si>
  <si>
    <t>Los andaluces votan para limpiar el cortijo. Alardeando de centralidad, @Albert_Rivera dice que con un partido constitucionalista como @vox_es que no, que prefiere pactar con los antiguos amos del cortijo. No quisiera yo estar en tu piel en las próximas elecciones, Albert.</t>
  </si>
  <si>
    <t>Arrecife, España</t>
  </si>
  <si>
    <t>Locutor de Radio🎙📻Gestor de Redes💻 Manager 3.0💼 socialismo del siglo XXI 🌹</t>
  </si>
  <si>
    <t>España y Libertad</t>
  </si>
  <si>
    <t>Román Encabo</t>
  </si>
  <si>
    <t>Aviso para navegantes con flotador naranja:Si @CiudadanosCs y @Albert_Rivera inflan el flotador para salvar a PSOE en Andalucía,q tengan seguro que lo pagarán caro en las próximas elecciones, particularmente, en las generales.Sacar al @PSOE de la Junta es algo histórico y urgente</t>
  </si>
  <si>
    <t>Navarredondilla, Ávila, Crespos, Madrid y Calpe: hitos clave que jalonan la urdimbre geográfica, humana y social de mi existencia personal</t>
  </si>
  <si>
    <t>Capitan Ahab</t>
  </si>
  <si>
    <t>Y luego está @Albert_Rivera, que firmó un manifiesto contra la ultraderecha, con Renzi, Verhofstadt y el jefe del partido de Macron. "Debemos actuar ahora, o el proyecto europeo perderá el aliento"...</t>
  </si>
  <si>
    <t>https://www.eldiario.es/politica/Albert-Rivera-Verhofstadt-UE-Salvini_0_818918321.html</t>
  </si>
  <si>
    <t>https://pbs.twimg.com/media/Dtjy5ETWwAAhf7Z.jpg</t>
  </si>
  <si>
    <t>Fiddler's Green</t>
  </si>
  <si>
    <t>Hago siempre el mal. No por maldad, sino por no destacar</t>
  </si>
  <si>
    <t>http://www.malagahoy.es/julian_molina/</t>
  </si>
  <si>
    <t>Vamos @Albert_Rivera juega al juego de mosquear a este @Santi_ABASCAL y que al final acabe todo en repetir las elecciones Juegatela y así sabremos cuanto resisten estos @CiudadanosCs 😉 RT @doguionrego: Tienes a este @JuanMarin_Cs de trepas por Andalucía y al @CiudadanoVille tanteado las extremidades del cambiar todo para no cambiar nada 🙌 No te quemes Albert</t>
  </si>
  <si>
    <t>Falsas encuestas del 20 D ¿Con quién pactará Albert Rivera 🔊 LIBERTAD DE PENSAR, ➡️ Politica pura,</t>
  </si>
  <si>
    <t>https://goo.gl/1rykpX?wbp69=3086411422</t>
  </si>
  <si>
    <t>PLBCN</t>
  </si>
  <si>
    <t>Si @CiudadanosCs salva al @PSOE en Andalucía, pierde mi voto en Cataluña y en España @Albert_Rivera @InesArrimadas</t>
  </si>
  <si>
    <t>vilque</t>
  </si>
  <si>
    <t>Nueva estrategia electoral d Albert Rivera:hacer guiños irónicos en sus mítines a su supuesta adicción a la cocaína -YA SABÉIS Q "ASPIRO"A SER VUESTRO PRESIDENTE,JEJEJ -Jajaj,bravo! -SI TERESA RODRÍGUEZ ES KHALEESI,YO SOY JOHN "NIEVE"! -Bueno,vale ya macho -Sí,ya cansa (No cuajó)</t>
  </si>
  <si>
    <t>La Corunya, Espanya</t>
  </si>
  <si>
    <t>Embustero y bailarín</t>
  </si>
  <si>
    <t>http://www.vilque.com</t>
  </si>
  <si>
    <t>Jpinac</t>
  </si>
  <si>
    <t>Ahora a ver cómo explica @Albert_Rivera , defensor de que los gais™ puedan tener hijos para justificar los vientres de alquiler, que va a pactar con un VOX, que quiere eliminar el matrimonio homosexual y prohibirnos tener hijos. Estoy seguro de que tiene una buena explicación.</t>
  </si>
  <si>
    <t>18 - Estudiante de Ingeniería Informática - Rojo, ateo y maricón, Belcebú me lleva en la cartera de ministros - Háblame de videojuegos y seré tuyo por siempre.</t>
  </si>
  <si>
    <t>Pam</t>
  </si>
  <si>
    <t>Tengo que reconocer que me he leído el programa de @vox_es Subscribo casi todo. Gracias por sembrar la ilusión. Espero que @pablocasado_ y @PPopular y @CiudadanosCs y @Albert_Rivera estén a la altura</t>
  </si>
  <si>
    <t>Mañana miércoles se publica con la edición impresa de 20m el especial 'La Constitución de la libertad', sobre los 40 años de la carta magna. Con artículos de Pedro SanchezCastejon , pablocasado_ , Albert_Rivera , Íñigo ierrejon y más firmas.</t>
  </si>
  <si>
    <t>https://pbs.twimg.com/media/DtmxiJZW4AIubRz.jpg</t>
  </si>
  <si>
    <t>Amo la vida, me rebelo ante la mentira, el cinismo y la hipocresia. Me preocupa el mundo que estamos dejando a nuestros hijos.</t>
  </si>
  <si>
    <t>Gerardo Matarán</t>
  </si>
  <si>
    <t>No tengo ninguna duda. Albert Rivera nos va a dejar a los andaluces helados. Su asuencia total de principios y su tacticismo y complejo para que no lo asocien a VOX va a hacer imposible un cambio real en Andalucia.</t>
  </si>
  <si>
    <t>ValYMedio</t>
  </si>
  <si>
    <t>No. No es un sueño. #VOTAnoalaIzquierda #lareconquistadeEspaña 😃 @ppandaluz @vox_es y el que se quiera unir... @Albert_Rivera ¿CON los españoles o CONTRA los españoles? Los experimentos, para química. En política, el “representante” hace lo que quieren a los que representa.</t>
  </si>
  <si>
    <t>Jaén - España</t>
  </si>
  <si>
    <t>Abogado</t>
  </si>
  <si>
    <t>https://pbs.twimg.com/media/DtjwqXjW4AAjUYV.jpg</t>
  </si>
  <si>
    <t>Pepa Corals</t>
  </si>
  <si>
    <t>Si Albert Rivera empieza a dar bandazos cómo Pedro Sánchez, para las próximas elecciones le va a caer la del pulpo. Rectificar es de sabios, pero hacerlo continuamente es de idiotas. Felipe González</t>
  </si>
  <si>
    <t>Hoy va a ser un buen día. Mucho éxito 💫 🇪🇸</t>
  </si>
  <si>
    <t>Andaluza,Catalana,Española,Europea y ciudadana del mundo</t>
  </si>
  <si>
    <t>ECEspaña</t>
  </si>
  <si>
    <t>https://www.elconfidencial.com/espana/2018-12-04/directo-pedro-sanchez-entrevista_1686582/?utm_source=twitter&amp;utm_medium=social&amp;utm_campaign=NacionalDiarioAutomatico</t>
  </si>
  <si>
    <t>Cs Montcada i Reixac</t>
  </si>
  <si>
    <t>Este miércoles celebramos el 40 aniversario de la Constitución en Barcelona con @Albert_Rivera @InesArrimadas @manuelvalls ¡Te esperamos! #Montcada</t>
  </si>
  <si>
    <t>Sección de Nacional de @elconfidencial. Investigación, política y tribunales.</t>
  </si>
  <si>
    <t>http://elconfidencial.com</t>
  </si>
  <si>
    <t>https://pbs.twimg.com/media/DtjwmitXQAArVSY.jpg</t>
  </si>
  <si>
    <t>Salazarillo de Tormes</t>
  </si>
  <si>
    <t>Ostras tú, con el farlopero de Albert Rivera. RT @Enric_Hernandez: EXCLUSIVA El colaborador contratado a dedo por la ‘consellera’ Laura Borràs está procesado por narcotráfico y falsificación de billetes, por ⁦@jgalbalat⁩ y ⁦@guillem_sm⁩</t>
  </si>
  <si>
    <t>Montcada i Reixac, España</t>
  </si>
  <si>
    <t>Twitter oficial de la agrupación y grupo municipal de @CiudadanosCs en Montcada i Reixac.</t>
  </si>
  <si>
    <t>https://twitter.com/Enric_Hernandez/status/1070074687751897088
https://www.elperiodico.com/es/politica/20181204/isaias-colaborador-borras-trafico-drogas-7183943</t>
  </si>
  <si>
    <t>http://montcada.ciudadanos-cs.org</t>
  </si>
  <si>
    <t>Quién nos salvará de nosotros mismos?</t>
  </si>
  <si>
    <t>dlezoblas</t>
  </si>
  <si>
    <t>Después d oír a Villegas en la cope, creo q vais camino d la desaparición. Ni Villacis, ni Arrimadas os van a poder salvar ¿Apostamos? @GirautaOficial @CiudadanosCs @Albert_Rivera</t>
  </si>
  <si>
    <t>El Garci</t>
  </si>
  <si>
    <t>Lo más parecido de Albert Rivera es Maradona, los dos se meten cocaína en vena</t>
  </si>
  <si>
    <t>https://pbs.twimg.com/media/DtmqwSVXcAIOCu_.jpg</t>
  </si>
  <si>
    <t>Polla, Scotland</t>
  </si>
  <si>
    <t>Sergi Garcia, togasergi en PS4. Fórmula 1, motorsport y fútbol . Entrenador de fútbol base⚽ MODERDONIA EXISTE!</t>
  </si>
  <si>
    <t>https://www.youtube.com/channel/UCOurIGReyOjoAtccd3UtDbQ</t>
  </si>
  <si>
    <t>Elena Valenciano</t>
  </si>
  <si>
    <t>España no es Francia -y la derecha francesa siempre ha extendido un cordón sanitario contra los Le Pen-. Nosotros hemos sufrido 40 años de dictadura franquista! ¿Tenemos memoria? @Albert_Rivera blanqueará a VOX?</t>
  </si>
  <si>
    <t>Vicepresidenta del Grupo Socialista en el Parlamento Europeo</t>
  </si>
  <si>
    <t>Post nubila, Phoebus</t>
  </si>
  <si>
    <t>Para @Albert_Rivera y @CiudadanosCs la regeneración era esto.</t>
  </si>
  <si>
    <t>https://pbs.twimg.com/media/Dtjujh-XcAE0rci.jpg</t>
  </si>
  <si>
    <t>Otra mirada a la realidad es necesaria.</t>
  </si>
  <si>
    <t>#FirstDates780 Alfonso conquistó a Cristina al decir "broker" Cristina conquistó a Alfonso al decir "abogada de banca". Que les case Albert Rivera...😂🤮🤮</t>
  </si>
  <si>
    <t>Diego el Pelusa</t>
  </si>
  <si>
    <t>Si pactáis con podemos olvidad mi voto PARA SIEMPRE @Albert_Rivera @lugaricano</t>
  </si>
  <si>
    <t>Ferran</t>
  </si>
  <si>
    <t>#FirstDates780 Albert Rivera, Agatha Christie I el cine de terror? Alfonso, la primera bien, pero después mentirosillo...</t>
  </si>
  <si>
    <t>I studied Graphic design, but without talent ... FCBarcelona Fan. Marathoner. Listen Soul &amp; Pop.</t>
  </si>
  <si>
    <t xml:space="preserve">Reino de León  </t>
  </si>
  <si>
    <t>Football, Music &amp; Politics</t>
  </si>
  <si>
    <t>MeSuboALaVida</t>
  </si>
  <si>
    <t>Centro derecha: Ejemplo Albert Rivera 😂😂😂😂 Desde que ha irrumpido #VOX en la derecha #Rivera parece moderado o de "centro derecha" Jajajaajajaj #FirstDates780</t>
  </si>
  <si>
    <t>Christian Romero</t>
  </si>
  <si>
    <t>¡Seguid así @Cs_Andalucia! Insultando de esta manera a casi 400.000 andaluces, el apoyo a @albert_rivera en las próximas generales se os hundirá. Lo veremos. Tiempo al tiempo. #AndaluciaAntifascista</t>
  </si>
  <si>
    <t>Intentaron enterrarnos sin saber que éramos semillas 🔥 *PERFECTAMENTE IMPERFECTA* ♀️ PINK GIRL</t>
  </si>
  <si>
    <t>rosa</t>
  </si>
  <si>
    <t>A ella le gusta que el trabaje en banca privada y a él que ella es guapísima Pero lo que tienen en común es Albert Rivera y en cine de terror #FirstDates780</t>
  </si>
  <si>
    <t>Los que niegan la libertad a otros, no la merecen para ellos mismos.// Those who deny freedom to others, deserve it not for themselves.</t>
  </si>
  <si>
    <t>http://www.elclubdelosviernes.org</t>
  </si>
  <si>
    <t>TJ</t>
  </si>
  <si>
    <t>Alfonso es de centro derecha.....voy a decir Albert Rivera. Ciudadanos NO ES DE CENTRO, JODER. Su sistema económico es el liberalismo.Para que nos entendamos....EL QUE TENGA, BIEN...Y EL QUE NO TENGA, QUE LE DEN CON UNA CAÑA ROTA!!.#FirstDates780</t>
  </si>
  <si>
    <t>Javier Corripio</t>
  </si>
  <si>
    <t>Sres. @InesArrimadas @Tonicanto1 @Albert_Rivera @GirautaOficial van ustedes a suicidarse apoyando al PSOE en Andalucía? Muchos agradecerían que despejaran la duda</t>
  </si>
  <si>
    <t>Valencianeando</t>
  </si>
  <si>
    <t>Yo tampoco se vivir, tan solo estoy improvisando.</t>
  </si>
  <si>
    <t>LaMiniPeni</t>
  </si>
  <si>
    <t>#FirstDates780 Alfonso, nunca nos hubiéramos imaginado lo de Albert Rivera... Jamás!!</t>
  </si>
  <si>
    <t>The Alps</t>
  </si>
  <si>
    <t>PhD University of Edinburgh. Interest in weather, climate, glaciers, mountains, photography and common sense. https://goo.gl/wyZpb3</t>
  </si>
  <si>
    <t>https://www.instagram.com/javiercorripio/</t>
  </si>
  <si>
    <t>pic.twitter.com/qeiTEucKjT</t>
  </si>
  <si>
    <t>👉 La misma de siempre, aunque ya no la de antes 👈</t>
  </si>
  <si>
    <t>Rosana Merlo</t>
  </si>
  <si>
    <t>#firstdates780 Político favorito Albert Rivera. No se te veía venir ni ná...</t>
  </si>
  <si>
    <t>Si @CiudadanosCs y @Albert_Rivera siguen manteniendo esta postura, lo pagarán caro en las próximas elecciones. Qué recuerden su fiasco en las últimas generales RT @TeoGarciaEgea: Juan Marín y Ciudadanos están mostrando su verdadera cara. Prefieren una presidencia, aunque sea Díaz quien les apoye, en vez del cambio. Si frustran el cambio, o se repiten elecciones, estarán traicionando a los que confiaron en ellos para acabar con el régimen socialista.</t>
  </si>
  <si>
    <t>https://twitter.com/TeoGarciaEgea/status/1069723441933287426</t>
  </si>
  <si>
    <t>https://pbs.twimg.com/media/Dthry-CXgAIuaDv.jpg</t>
  </si>
  <si>
    <t>Sólo se que no se nada. Y lo digo en serio...</t>
  </si>
  <si>
    <t>http://lavidanoes1sola.blogspot.com.es</t>
  </si>
  <si>
    <t>Yenn</t>
  </si>
  <si>
    <t>#FirstDates780 político favorito, Albert Rivera. Venga, os dejo. Vasito de cianuro y a dormir</t>
  </si>
  <si>
    <t>No se que poner, pero me empezaba a dar dentera este espacio en blanco.</t>
  </si>
  <si>
    <t>¿Por qué las redes piensan que Rivera consume drogas? @Albert_Rivera  vía @diario_16</t>
  </si>
  <si>
    <t>Hans Landa</t>
  </si>
  <si>
    <t>Ha dicho Albert Rivera? POBRE AZ #FirstDates780</t>
  </si>
  <si>
    <t>https://pbs.twimg.com/media/DtmnWxsXQAEQ6y-.jpg</t>
  </si>
  <si>
    <t>http://mediterraneo.diario16.com/las-redes-piensan-rivera-consume-drogas/</t>
  </si>
  <si>
    <t>WWII Europe</t>
  </si>
  <si>
    <t>Despiadado. Adicto a la leche. Me llaman caza muebles de IKEA. Sígueme.</t>
  </si>
  <si>
    <t>#FirstDates780 "Cuál es el político que más te gusta?" Albert Rivera como referente....."Centro derecha", dicen....jajajajajaja.....Solo os digo tres letras y lo vais a entender, chicos....V O X.</t>
  </si>
  <si>
    <t>Miranda El Universo</t>
  </si>
  <si>
    <t>Lo de @Ciudadanos es de traca. Querer pactar con el PSOE para dejar fuera a VOX es lo q faltaba por ver. Sois otro partido escoria @Albert_Rivera ... lo pagareis en las Generales. #Ascazo</t>
  </si>
  <si>
    <t>First dates</t>
  </si>
  <si>
    <t>#FirstDates780 "Yo soy más de centro derecha. Voy a decir que ahora mismo mi referente podría ser... Albert Rivera"</t>
  </si>
  <si>
    <t>http://mdia.st/directo4</t>
  </si>
  <si>
    <t>https://pbs.twimg.com/media/DtmnMjOW0AIBASB.jpg</t>
  </si>
  <si>
    <t>Perfil oficial del programa de @cuatro. De lunes a sábado a las 21.30</t>
  </si>
  <si>
    <t>http://www.cuatro.com</t>
  </si>
  <si>
    <t>Nueva en Twitter y estoy aquí porque amo a mi país 🇪🇸 y lucho contra quienes quieren destruirlo... Viva España 🇪🇸</t>
  </si>
  <si>
    <t>Lonely Boy</t>
  </si>
  <si>
    <t>La derechita cobarde de @CiudadanosCs y del veletas @Albert_Rivera ya estará intentando pactar con los sociatas y progrecomunistas. Fuera!!! #VoxAvanza #VoxExtremaNecesidad #EspañaViva 🇪🇸</t>
  </si>
  <si>
    <t>Pucela (Hispania)</t>
  </si>
  <si>
    <t>Tantum in me iudicium Dei 💜 Real Valladolid 💚 VOX</t>
  </si>
  <si>
    <t>Juanma_Moreno</t>
  </si>
  <si>
    <t>anadebande Albert_Rivera GPPopular MartaGlezVzqz MoroMjesus martintoledano jaimedeolano elenabastidasb TeresaPalTous ppandaluz PPopular juanviperezaras La famiglia. Sra. anadebande Aquí el único Partido condenado por tener durante 20 años una Caja B es el suyo. Y de paso le …</t>
  </si>
  <si>
    <t>🌞 ¡Buenos días y #FelizMartes! 👉 Celebra los 40 años de constitucionalismo con @Albert_Rivera, @InesArrimadas y @manuelvalls 📆 Miércoles, 5 de diciembre a partir de las 19h 😀 ¡Te esperamos!</t>
  </si>
  <si>
    <t>Lider PP Andaluz.. Solo me importa el dinero. El Partido Popular está muy corrompido. #BarcenasGate #Sobres (Parodia)</t>
  </si>
  <si>
    <t>https://pbs.twimg.com/media/DtjrvNzXcAIPyL1.jpg</t>
  </si>
  <si>
    <t>Tuitiritran</t>
  </si>
  <si>
    <t>Esto es Vox , y este señor el que manejará a su gusto a @Albert_Rivera , @JuanMarin_Cs y @JuanMa_Moreno , a @pablocasado_ ni lo nombro porque está demostrando ser de la misma cuerda. #AndaluciaAntifascista RT @FSerranoCastro: Desde luego lo que no hay son mujeres liberales que se proclamen putas, brujas y bolleras.Eso está reservado para piojosas d ultraizquierda</t>
  </si>
  <si>
    <t>Progresista, feminista y animalista pero todo en su justa medida. #Boxeo #F1 #MotoGP. Bloqueador de fachas nivel élite. Mi corrector se lleva mal conmigo.</t>
  </si>
  <si>
    <t>Miguel Rod</t>
  </si>
  <si>
    <t>Que sepáis que si en Andalucía no se produce el cambio que han votado los andaluces es porque al señor Albert Rivera no le sale de los cojones</t>
  </si>
  <si>
    <t>Si @CiudadanosCs y @Albert_Rivera pacta con @PSOE en #Andalucia; en las #elecciones generales y autonomicas les pasara factura. El electorado de izquierda española ha abrazado la bandera española y mientras esp no lo comprendan sus dirigentes mal van RT @CastigadorY: Ciudadanos prioriza el pacto con PP y PSOE para evitar que entre VOX en el gobierno y así darles de lado, que equivocación tan grande de Cs, os equivocáis de enemigo, VOX defiende a este país cómo vosotros o más, os va a salir caro si finalmente lo hacéis.</t>
  </si>
  <si>
    <t>Lejos de los separatistas</t>
  </si>
  <si>
    <t>Ultraderechista español Spanish far-right Paris 2000 Glasgow 2002</t>
  </si>
  <si>
    <t>Zeno-sama #Tram0 St Esteve de les Roures</t>
  </si>
  <si>
    <t>Vamos Santiago Abascal es como Albert Rivera un resentido y un amargado del PP, la única diferencia es que Abascal lleva una Smith and Wesson la cazadora. #VoxAbascalTV3</t>
  </si>
  <si>
    <t>Catalunya, País Valencià.</t>
  </si>
  <si>
    <t>Cupaire, Independentista y de Izquierdas. Según PPSOEC's: Nazibolivariano. Alérgico a la Corrupción y al cinismo. En mí tiempo libre soy Zeno-sama.</t>
  </si>
  <si>
    <t>AidaMoore 🇪🇸</t>
  </si>
  <si>
    <t>negociar ahora con PSOE en Andalucia? @Albert_Rivera @InesArrimadas @CiudadanosCs mi voto y el de mi familia será para @vox_es la proxima vez, queremos cambios sin los socialistas!!</t>
  </si>
  <si>
    <t>by the rivers of Babylon</t>
  </si>
  <si>
    <t>Honoris Causa Twitter</t>
  </si>
  <si>
    <t>Lale Campos</t>
  </si>
  <si>
    <t>Sánchez suprimiría la inviolabilidad del Rey y augura que Felipe VI lo apoyaría  Se la quiere quitar al rey, pero de él no dice nada..🤔 @susanadiaz @Santi_ABASCAL @Albert_Rivera @TeoGarciaEgea</t>
  </si>
  <si>
    <t>https://a.msn.com/r/2/BBQsFak?m=es-es&amp;referrerID=InAppShare</t>
  </si>
  <si>
    <t>Toni</t>
  </si>
  <si>
    <t>Al final los españoles van a tener razón con lo de la catalano/vascofobia, ya que van a ser un catalán como Albert Rivera y un vasco como Santiago Abascal quienes destruyan el país, efecto boomerang lo llaman. #NoPassaran</t>
  </si>
  <si>
    <t>A orillas del río Segura</t>
  </si>
  <si>
    <t>Amante de la #Ciencia.Escribo sobre ella en Libertad Digital, y en mi blog sobre más temas.</t>
  </si>
  <si>
    <t>http://lalecampos.com</t>
  </si>
  <si>
    <t>Lliure i republicà, si em segueixes jo et segueixo. Donec Perficiam.</t>
  </si>
  <si>
    <t>Cactus 🌵</t>
  </si>
  <si>
    <t>Si no dejan de hacer el ridículo, Ciudadanos está a punto de darse un tiro en el pie en Andalucía y suicidarse políticamente en el resto de España. Felicidades @Albert_Rivera por tu efímera carrera política. RT @HerreraenCOPE: #Directo José Manuel Villegas @CiudadanoVille, Secretario General de @CiudadanosCs 🎙️</t>
  </si>
  <si>
    <t>Jaume Soler i Serra</t>
  </si>
  <si>
    <t>https://twitter.com/HerreraenCOPE/status/1069859903492247552
http://ww.cope.es/tquk8202</t>
  </si>
  <si>
    <t>https://pbs.twimg.com/media/Dtjn4fyW0AAK83Y.jpg</t>
  </si>
  <si>
    <t>catalunya</t>
  </si>
  <si>
    <t>Ex- Agrupació Sardanista-Unió de Botiguers-Unió Democràtica-Federació de Comerç de Catalunya-Cambra de Comerç de Girona- SECOT --Casal de Jubilats</t>
  </si>
  <si>
    <t>http://jaumesolerserra.blogspot.com</t>
  </si>
  <si>
    <t>Dulce introducción al caos. ⊕</t>
  </si>
  <si>
    <t>Real Madrid y meritocracia como estilo de vida. No soy de ningún jugador, soy del escudo. Æ 🇪🇸🌵 🇦🇷 ✙ #HalaMadridHijosdePuta</t>
  </si>
  <si>
    <t>http://you.are.retarded.com</t>
  </si>
  <si>
    <t>No tenéis nada que decir sobre lo que ocurrió anoche en Andalucía? @pablocasado_ @Albert_Rivera</t>
  </si>
  <si>
    <t>Jan Moixó🎗</t>
  </si>
  <si>
    <t>Cuando Albert Rivera y C's eran de centro-izquierda</t>
  </si>
  <si>
    <t>Mariajose</t>
  </si>
  <si>
    <t>pic.twitter.com/iuTTLc8tp8</t>
  </si>
  <si>
    <t>Y porque nos os preséntateis como la primera fuerza política ganadora en Cataluña Diciembre 2017???? Ustedes tenéis la culpa y ahora en Andalucía pretendéis quedar los primeros... Mala estrategia.. Este NO ES EL CAMBIO DE ANDALUCÍA @Albert_Rivera @CiudadanosCs @GuillermoDiazCs RT @InesArrimadas: Siguen los ataques, el acoso y el señalamiento del separatismo a los que defienden la democracia en Cataluña. El Gobierno de España debe dejar de mirar para otro lado y reaccionar. Proteger y apoyar a los jueces y al resto de servidores públicos es urgente.</t>
  </si>
  <si>
    <t>https://twitter.com/InesArrimadas/status/1069568502623846402
https://twitter.com/europapress/status/1069553872019038208</t>
  </si>
  <si>
    <t>El Caribe, provincia de Masnou</t>
  </si>
  <si>
    <t>Me hice pirata porque, con tanto chorizo suelto, era la única opción honrada que me quedaba. Hice mi máster de Pirateria en la URJC.</t>
  </si>
  <si>
    <t>Malagueña, puntito rebelde, pero con las cosas claras y que no me vengan charlatanes de humo ni adoctrinamientos. No todo es blanco ni negro..hay colores 🐑🐑🐏</t>
  </si>
  <si>
    <t>Merzouga</t>
  </si>
  <si>
    <t>Ahora vamos a ver de verdad si os importa España o vuestras sillas @pablocasado_ @Albert_Rivera...</t>
  </si>
  <si>
    <t>NOTICIAS_ES</t>
  </si>
  <si>
    <t>El Confidencial - Directo | Sánchez: "Albert Rivera debería escuchar más a Valls sobre Vox"</t>
  </si>
  <si>
    <t>https://ift.tt/2AO6Hh6</t>
  </si>
  <si>
    <t>Valencia, Comunidad Valenciana</t>
  </si>
  <si>
    <t>Cuando entiendas que no se trata de luchar sino de aceptar y fluir, habrás entendido la vida......</t>
  </si>
  <si>
    <t>Carolina ن  ספרד</t>
  </si>
  <si>
    <t>De @Jorgebuxade a @GirautaOficial @Albert_Rivera y todos los de @CiudadanosCs INFIERAN —&gt; Ah, y de parte de unos cuantos, que no pocos: si pactáis con el PSOE y dejáis del lado a @vox_es , no dudéis que perderéis nuestra confianza y por supuesto nuestros votos #NoDigoMas</t>
  </si>
  <si>
    <t>https://pbs.twimg.com/media/DtjoLutW4AA-E2N.jpg</t>
  </si>
  <si>
    <t>En el EXILIO 🇪🇸🇪🇺🇻🇪</t>
  </si>
  <si>
    <t>VENEZOLANA, Sefardí. España http://entrecajasdecolores.blogspot.com.es/?m=1</t>
  </si>
  <si>
    <t>http://enunamaleta.blogspot.com.es/?m=1</t>
  </si>
  <si>
    <t>No creo sea verdad @Albert_Rivera será su fin RT @hermanntertsch: ¿O sea que Rivera está pensando en aliarse con el socio de Quim Torrá y Otegi para gobernar en Andalucía? Estará haciendo esfuerzos por que Ciudadanos tenga la misma suerte de UPyD.</t>
  </si>
  <si>
    <t>https://twitter.com/hermanntertsch/status/1069840277572120576</t>
  </si>
  <si>
    <t>A ver como le explican Pablo Casado y Albert Rivera a sus hijos que van a compartir gobierno con los fascistas herederos de quienes incineraban judíos en hornos o llenaban cunetas de republicanos españoles. #elintermedio</t>
  </si>
  <si>
    <t>EduCorregidor</t>
  </si>
  <si>
    <t>Ahora veremos la verdadera cara de @CiudadanosCs y el (...) de @Albert_Rivera nos quiere colar un pacto con el @psoedeandalucia para que nada cambie en la Junta.. Hay mucho que ocultar y Susana no lo permitirá... mal muy mal Marín y Susana son lo mismo.. RT @elconfidencial: En portada: PP y Ciudadanos pelean la presidencia de Andalucía bajo la amenaza de nuevas elecciones</t>
  </si>
  <si>
    <t>JGM</t>
  </si>
  <si>
    <t>Directo | Sánchez: "Albert Rivera debería escuchar más a Valls sobre Vox"  EC</t>
  </si>
  <si>
    <t>https://twitter.com/elconfidencial/status/1069846271039627270
http://elconfidencial.com</t>
  </si>
  <si>
    <t>https://pbs.twimg.com/media/DtjbcphWkAEj0Ii.jpg</t>
  </si>
  <si>
    <t>Ayudo a otras personas a tomar verdadera consciencia sobre las ventajas y desventajas del emprendimiento y el autoempleo #qetpm http://www.corregidor.es</t>
  </si>
  <si>
    <t>La vida es un gran viaje para encontrarse a uno mismo, y debemos hacerlo con la mayor ilusión posible.</t>
  </si>
  <si>
    <t>#Cambio, sin dudas @Albert_Rivera @JuanMarin_Cs</t>
  </si>
  <si>
    <t>https://pbs.twimg.com/media/DtjjPVWWkAApcj6.jpg</t>
  </si>
  <si>
    <t>Alena 🎗</t>
  </si>
  <si>
    <t>Albert Rivera es catalán y Santiago Abascal es vasco. Cosas de la vida.... #VoxAbascalTV3</t>
  </si>
  <si>
    <t xml:space="preserve"> Barcelona II⭐️II </t>
  </si>
  <si>
    <t>Born in the USSR</t>
  </si>
  <si>
    <t>Teresa GNoblejas</t>
  </si>
  <si>
    <t>Al #PSOE ni agua. Dile a @Albert_Rivera que haga posible el cambio en #Andalucía . Firma</t>
  </si>
  <si>
    <t>http://www.citizengo.org/hazteoir/pc/167099-al-psoe-ni-agua-sr-rivera?m=5</t>
  </si>
  <si>
    <t>Católica, española y miembro de varias iniciativas sociales. Me apasiona #ElBienComun. Trabajo en Comunicacion de http://HazteOir.org-CitizenGO.</t>
  </si>
  <si>
    <t>Fíjate si pactara con @PPopular y @vox_es la gente lo vería con buenos ojos pero echarse en brazos del @PSOE como dices es cavar su tumba. Poco listo este @Albert_Rivera, más bien nada. Pero vamos ya ha mantenido a @susanadiaz esta legislatura hasta hace unos meses. Nada nuevo RT @RaPiqFu: @ACruzBizarro @CiudadanosCs @PSOE @Albert_Rivera va a empezar a cavar su tumba política pactando con el SOE en Andalucia, lo pagará en la Generales.</t>
  </si>
  <si>
    <t>https://twitter.com/rapiqfu/status/1069826087654428672</t>
  </si>
  <si>
    <t>Manuel Ford Álvarez</t>
  </si>
  <si>
    <t>Albert Rivera da por amortizado al PP y apunta contra el PSOE de Pedro Sánchez  vía @eldiarioes</t>
  </si>
  <si>
    <t>https://m.eldiario.es/_2d192dfc</t>
  </si>
  <si>
    <t>👉🏻@CiudadanosCs debe darle la puntilla al PSOE en Andalucía y hacer presidente a Juanma Moreno  @Albert_Rivera @InesArrimadas @xpericay @Tonicanto1 @pablocasado_ @AntoniCamps @gsampolfer @ERIKEO5555 @angelmigeva</t>
  </si>
  <si>
    <t>Bizkaia, País Vasco</t>
  </si>
  <si>
    <t>https://www.diaribalear.es/ciudadanos-debe-darle-la-puntilla-al-psoe-en-andalucia-y-hacer-presidente-a-juanma-moreno/</t>
  </si>
  <si>
    <t>Ska-ndalo</t>
  </si>
  <si>
    <t>Por un momento me he imaginado a Albert Rivera vestido de Santa Claus (con la nariz como la de Rodolfo el Reno solo que en vez de roja, blanca) repartiendo de sus polvazos. RT @Luisiyoh: Lista de cosas que quiero para Navidad - - - - un polvazo</t>
  </si>
  <si>
    <t>https://twitter.com/Luisiyoh/status/1069964258073632770</t>
  </si>
  <si>
    <t>La vida es como una caja de bombones, mejor ser roja.</t>
  </si>
  <si>
    <t>Mike Scott</t>
  </si>
  <si>
    <t>Manuel Valls: "Lo de Andalucía se ha producido por unos supuestos pactos (del PSOE con el independentismo) que no se han producido". Sí, Albert Rivera, hasta tu candidato en BCN te recrimina que hayas bajado a Andalucía a hablar del procés. Aunque, la verdad, os ha ido muy bien🙈</t>
  </si>
  <si>
    <t>Rafajasco</t>
  </si>
  <si>
    <t>Europa y el mundo intentando aislar a la ultraderecha antidemocrática, mientras @pablocasado_ y @Albert_Rivera le dan palmaditas y la mano. Indecentes.</t>
  </si>
  <si>
    <t>Arenas de San Pedro, Ávila</t>
  </si>
  <si>
    <t>Profesor de EOI. De Ávila. Progre, o así. Melómano. (Muy) esporádico colaborador de @mondo_sonoro. Of course I love you, now get me a beer 🍺</t>
  </si>
  <si>
    <t>Las normas del juego son para todos....si no rompemos la baraja.</t>
  </si>
  <si>
    <t>Los 20 tuits más RTs de @quimforn @krls @joseprull @jorditurull @gabrielrufian @agarzon @girautaoficial @santi_abascal @albert_rivera @forcadellcarme @edugaresp @pablo_iglesias_ @quimtorraipla @sanchezcastejon @gallifantes el lunes 3 de diciembre</t>
  </si>
  <si>
    <t>https://twitter.com/trendinaliaES/timelines/1069835848982491136</t>
  </si>
  <si>
    <t>Jesusن✞</t>
  </si>
  <si>
    <t>Ciudadanos y PSOE se ofrecen para gobernar ajenos al mandato de las elecciones andaluzas  vía @abcdesevilla hazlo @Albert_Rivera y verás donde vais....</t>
  </si>
  <si>
    <t>https://sevilla.abc.es/elecciones/andalucia/sevi-elecciones-andalucia-2018-ciudadanos-y-psoe-ofrecen-para-gobernar-ajenos-mandato-elecciones-andaluzas-201812040014_noticia.html#ns_campaign=rrss-inducido&amp;ns_mchannel=abcdesevilla-es&amp;ns_source=tw&amp;ns_linkname=noticia-video&amp;ns_fee=0</t>
  </si>
  <si>
    <t xml:space="preserve">De Sevilla al cielo </t>
  </si>
  <si>
    <t>Sevillano, Cofrade y Bético, detesto la ignorancia y la hipocresía, políticamente liberal, leal a mis principios. 🇪🇸</t>
  </si>
  <si>
    <t>Eduard</t>
  </si>
  <si>
    <t>Hola @Albert_Rivera @InesArrimadas no se os oye por ningún lado decir que debe gobernar la fuerza más votada.... #EleccionesAndalucia o ahora no vale????</t>
  </si>
  <si>
    <t>Estat Propi Ja!!!!</t>
  </si>
  <si>
    <t>Pedro Sánchez en TV5 pregunta a Rivera: ¿ Como va a explicar a Macrón su referente político, su pacto con la extrema derecha.? Pedro Sánchez debería saber que a Albert Rivera no tiene principios fijos.</t>
  </si>
  <si>
    <t>Los votos de @vox_es a ti @Albert_Rivera no te restaron sino todo lo contrario No nos des la disculpa para que si lo hagan 😃 RT @doguionrego: Este @Pablo_Iglesias_ sabe que si la izquierda perdió en Andalucía 800.000 votos lo que le viene en España es el desastre total 😃</t>
  </si>
  <si>
    <t>https://pbs.twimg.com/media/DtmZWamXcAIxayd.jpg</t>
  </si>
  <si>
    <t>https://twitter.com/doguionrego/status/1069707626735386624
https://twitter.com/JuanPdeMungia/status/1069468231885340672</t>
  </si>
  <si>
    <t>Erika Cid</t>
  </si>
  <si>
    <t>Lo que demuestra es que muchos somos moderados, creemos en un proyecto llamado España y sobretodo, queremos que acabe la dictadura del PSOE en Andalucía y vosotros nos prometísteis ese cambio, vosotros veréis @Albert_Rivera @CiudadanosCs RT @Cs_Andalucia: 🎙@JuanMarin_Cs "El PP ha perdido 400.000 votos en estas elecciones, y 24 diputados en 4 años. Ciudadanos sin embargo sigue creciendo con fuerza. Esto demuestra la fuerza que tenemos para plantear una investidura de nuestro grupo" @CanalSurRadio</t>
  </si>
  <si>
    <t>https://twitter.com/Cs_Andalucia/status/1069683407368654848</t>
  </si>
  <si>
    <t>pic.twitter.com/acZslVVW7U</t>
  </si>
  <si>
    <t>Aviso para @CiudadanosCs y para @Albert_Rivera: no os empecineis en Andalucía, entrar en el gobierno bajo la presidencia de @JuanMa_Moreno</t>
  </si>
  <si>
    <t>Ikerne Badiola</t>
  </si>
  <si>
    <t>Rivera dispuesto a pactar con Vox. Supresión de Comunidades Autónomas, derogación de las Leyes de violencia de género o memoria histórica... poco han necesitado ⁦@InesArrimadas⁩ ⁦@Albert_Rivera⁩ y los suyos para enseñar lo q realmente son.</t>
  </si>
  <si>
    <t>https://elpais.com/politica/2018/12/03/actualidad/1543866256_343219.html</t>
  </si>
  <si>
    <t>Marc Newton</t>
  </si>
  <si>
    <t>si tu novio: - se enfada con facilidad - cambia de personalidad cada tres semanas - dice que está contigo pero lo ves apoyar a tus enemigos - suda mucho No es tu novio, es Albert Rivera</t>
  </si>
  <si>
    <t>"Oinak zertarako hegoak baditut hegan egiteko"</t>
  </si>
  <si>
    <t>Creador de fantasías en papel y vídeo</t>
  </si>
  <si>
    <t>Belén Glez Soto</t>
  </si>
  <si>
    <t>Tremendo error @Albert_Rivera RT @CastigadorY: Ciudadanos prioriza el pacto con PP y PSOE para evitar que entre VOX en el gobierno y así darles de lado, que equivocación tan grande de Cs, os equivocáis de enemigo, VOX defiende a este país cómo vosotros o más, os va a salir caro si finalmente lo hacéis.</t>
  </si>
  <si>
    <t>https://twitter.com/castigadory/status/1069718434953469952
https://www.elconfidencial.com/elecciones-andalucia/2018-12-03/ejecutiva-ciudadanos-juan-marin-apoyo-pp-psoe_1682750/</t>
  </si>
  <si>
    <t>RRHH. Emprendedora, con muchas ganas y luchando cada día. Si no te esfuerzas hasta el máximo, ¿cómo sabrás donde está tu límite?</t>
  </si>
  <si>
    <t>Peter Parker</t>
  </si>
  <si>
    <t>Me ratifico en lo dicho por @eslamananadeFJL Te estás pasando de listo @Albert_Rivera y vas a defraudar a todos los que han creido eso de "nunca mas con la @PSOE "</t>
  </si>
  <si>
    <t>SkyLine, NY</t>
  </si>
  <si>
    <t>¡¡¿Quien soy?!! Pregunté. Y mi Angel 👼 #DA me iluminó🕷️💘🕸️</t>
  </si>
  <si>
    <t>Manolo Arróspide</t>
  </si>
  <si>
    <t>“Ya no descarto nada… Si @CiudadanosCs juega a ser el PSOE, no descarto que acabe como UPyD… @Albert_Rivera no te pases de listo (y eres muy listo)” #FedericoJiménezLosantos @eslamananadeFJL</t>
  </si>
  <si>
    <t>https://www.libertaddigital.com/espana/2018-12-03/ciudadanos-ya-no-descarta-a-vox-pero-insiste-en-pedir-a-psoe-y-pp-que-hagan-a-marin-presidente-1276629273/</t>
  </si>
  <si>
    <t>🇪🇸Libertarian &amp; incorrect. I ❤️ 🇮🇱</t>
  </si>
  <si>
    <t>Muero de...asco</t>
  </si>
  <si>
    <t>Albert Rivera justificando su pacto con VOX: yo no veo derechas ni esquierdas yo veo españoles...y tan Pancho va a quedar</t>
  </si>
  <si>
    <t>Pues eso... no agrado a todos, pero es lo que hay,nunca dije q quería agradar. http://instagram.com/portuga_12/</t>
  </si>
  <si>
    <t>CiudadanoKane</t>
  </si>
  <si>
    <t>Ana Mª P. L.</t>
  </si>
  <si>
    <t>Pablo Casado y Albert Rivera cambian los argumentos después del 2-D  vía @mundiario</t>
  </si>
  <si>
    <t>https://www.mundiario.com/articulo/politica/pablo-casado-albert-rivera-cambian-argumentos-despues-2-d/20181204002953139671.html</t>
  </si>
  <si>
    <t>Socialista, seguidora y colaboradora de algunas ONGS, no soporto a los hipócritas. Aficiones: leer, pintar, oír música. LO MEJOR MI HIJO.</t>
  </si>
  <si>
    <t>eldiario.es Cultura</t>
  </si>
  <si>
    <t>🍊 Albert Rivera quiere convertir a Juan Marín en la Birgitte Nyborg de Andalucía y estas son las dificultades a las que se enfrenta</t>
  </si>
  <si>
    <t>https://www.eldiario.es/cultura/Ciudadanos-Andalucia-Borgen-Rivera-Birgitte_0_842366178.html</t>
  </si>
  <si>
    <t>Gran Vía, 46</t>
  </si>
  <si>
    <t>Somos la sección de Cultura de @eldiarioes. Sigue con nosotros todo el cine, música, teatro, libros y más.</t>
  </si>
  <si>
    <t>http://eldiario.es/cultura</t>
  </si>
  <si>
    <t>Ppe 59</t>
  </si>
  <si>
    <t>Sr Albert Rivera,no echeUsted a perder la extraordinariacampaña que ha hecho la Sra Arrimadas pactando con un partidoaliado de los golpistas enAndalucía por el que dirán.Lo que puede pasar es que su partido desaparezca en las próximas elecciones en las marismas del Guadalquivir</t>
  </si>
  <si>
    <t>🇪🇸.Emeritense en Francia, en Madrid y Valladolid.</t>
  </si>
  <si>
    <t>A Albert Rivera no le gustan los gobiernos Frakestein, el es más de gobierno Ku Klux Klan.</t>
  </si>
  <si>
    <t>¿A qué juega Albert Rivera? 🤔 Sinceramente, creo que es muy mal estratega. No sé la de votos que ya pueden haberse ido a VOX. Primero dice que el cambio es posible y cuando su predicción se torna realidad no quiere cambiar. Él sabrá. Para mí ha perdido toda credibilidad.</t>
  </si>
  <si>
    <t>Albert Rivera no ve el Ku Klux Klan, solo ve españoles y sillones.</t>
  </si>
  <si>
    <t>Alégrame el día</t>
  </si>
  <si>
    <t>A mí bloqueó Albert Rivera por decir que "Marín es un carajote de manual al que solo le faltó militar en los Hare Khrisna". Se ve que no entendió el concepto.</t>
  </si>
  <si>
    <t>Viajero incansable. “I am not the same, having seen the moon shine on the other side of the world.”</t>
  </si>
  <si>
    <t>Bardamu</t>
  </si>
  <si>
    <t>Vaya, creo que he dado con el libro con el que estudió Historia Pablo Casado... Yo soy español (1943), de Agustín Serrano de Haro... Por cierto, Albert Rivera no debería olvidar que para un fascista los liberales son algo muy parecido a los republicanos...</t>
  </si>
  <si>
    <t>https://pbs.twimg.com/media/DtmM8LLW4AEA318.jpg</t>
  </si>
  <si>
    <t>En minoria absoluta.......Sé q no sóc posseïdor de la veritat absoluta (i q tu tampoc)......anarcopodemita, perquè sóc l'amo de les meues pròpies contradiccions</t>
  </si>
  <si>
    <t>Esperanza Escribano</t>
  </si>
  <si>
    <t>Hacerle la campaña al enemigo... ¿Cómo van Albert Rivera y Pablo Casado, con este apoyo, a pactar con la extrema derecha de Vox? RT @DrDavidDuke: 🔴🗳️ VOX triumphs in Andalusia! 12 seats and the end of the socialist regime 🇪🇸 #EspañaViva makes it history and shows that change is possible. The Reconquista begins in the Andalusian lands and will be extended in the rest of Spain 📣 #AndalucíaPorEspaña</t>
  </si>
  <si>
    <t>Freelance journalist. Producing for BBC in Spain. Also Público, ETB... Y un par de sueños: @bcnmes y @gsnotaftershave. Cuéntame tu historia, DM open.</t>
  </si>
  <si>
    <t>http://esperanzaescribano.com</t>
  </si>
  <si>
    <t>Pànic Orfila</t>
  </si>
  <si>
    <t>"Es peligroso". El prestigioso diario francés Le Monde ha publicado un duro editorial que supone una seria advertencia a los líderes del PP y de Ciudadanos, Pablo Casado y Albert Rivera respectivamente, por su papel ante la irrupción de Vox en Andalucía.</t>
  </si>
  <si>
    <t>Gijón / Xixón</t>
  </si>
  <si>
    <t>Un grano no hace granero, pero ayuda al compañero. En esta nave en que vamos se necesitan remeros; el puerto es la libertad, el capitán es el Pueblo. L. Pastor</t>
  </si>
  <si>
    <t>http://palencia.cnt.es/2018/10/06/memoria-historica-la-union-de-hermanos-proletarios-uhp-la-revoluci</t>
  </si>
  <si>
    <t>Albert Rivera en VI Escuela de Verano DENAES 2012 🔗 “libertad de empresa”,</t>
  </si>
  <si>
    <t>https://youtu.be/V9YYQDqha-Q?ged89=6710138506</t>
  </si>
  <si>
    <t>El Sr Sánchez es un lince en esta afirmación... Pero la realidad es que se ha aliado con ellos para ocupar la Moncloa y ha roto todos los puentes con los constitucionalistas. RT @europapress: Sánchez cree que los independentistas se quieren separar de España tanto si hay una Monarquía como una República</t>
  </si>
  <si>
    <t>https://twitter.com/europapress/status/1070024083801300994
https://www.europapress.es/nacional/noticia-sanchez-cree-independentistas-quieren-separar-espana-tanto-si-hay-monarquia-republica-20181204191556.html</t>
  </si>
  <si>
    <t>Eva_Josefina_Segura</t>
  </si>
  <si>
    <t>Hola, @pablocasado y Albert Rivera. Ya no hace falta que defináis a VOX, que el exjefe del "Ku Klux Klan" ya lo hace por vosotros, que él de extrema derecha racista y fascista sabe un rato.</t>
  </si>
  <si>
    <t>Quien me quiera seguir que arree</t>
  </si>
  <si>
    <t>FOROCEN-FORO</t>
  </si>
  <si>
    <t>BONILLA dice a Albert Rivera que o él es PRESIDENTE y la VACA CONSEJERA de AGRICULTURA, o se REPITEN las ELECCIONES.</t>
  </si>
  <si>
    <t>https://pbs.twimg.com/media/DtmD9cmWoAALypM.jpg</t>
  </si>
  <si>
    <t>FORO dedicado a la CIUDAD ESPAÑOLA , que junto a la francesa París y la estadounidense Nueva York , forma el triángulo de grandes ciudades del mundo.</t>
  </si>
  <si>
    <t>Según Pablo Casado y Albert Rivera, los de Le Monde son unos populistas bolivarianos proetarras... RT @eldiarioes: Le Monde advierte a Ciudadanos y carga contra Casado por "normalizar el discurso" de la extrema derecha</t>
  </si>
  <si>
    <t>https://twitter.com/eldiarioes/status/1070020410111082496
https://www.eldiario.es/rastreador/Monde-advierte-Ciudadanos-Casado-normalizar-extrema-derecha_6_842775750.html</t>
  </si>
  <si>
    <t>https://pbs.twimg.com/media/Dtl3-w8XgAAKd7l.jpg</t>
  </si>
  <si>
    <t>Salva García</t>
  </si>
  <si>
    <t>Ejemplo de Hipocresía. 2015 Albert Rivera ha criticado que "lo primero" que haya pedido Iglesias para negociar un acuerdo de investidura con el PSOE e IU hayan sido "sillones de gobierno". En la actualidad, Ciudadanos siendo 3 fuerza pide directamente presidir la Junta Andalucía</t>
  </si>
  <si>
    <t>Luchando por un mundo peor, cuanto antes acabe este infierno mucho mejor. https://m.youtube.com/watch?v=CIrvSJwwJUE</t>
  </si>
  <si>
    <t>https://youtu.be/uVJ84kISjiA</t>
  </si>
  <si>
    <t>Para Albert Rivera el acuerdo es papel mojado, es el timo de la estampita: "Nos han metido un gol en el último minuto, mientras Sánchez se hacía fotos en La Habana"  #TratadoUtrech #ConflictoGibraltarEspaña #DerechoDeAutodeterminación #Brexit</t>
  </si>
  <si>
    <t>http://www.multiforo.eu/Colaboraciones/2018/TratadoDeUtrechDos.htm</t>
  </si>
  <si>
    <t>Carlos Barros</t>
  </si>
  <si>
    <t>¿Vox constitucionalista? Intentan institucionalizar el franquismo. #carlosbarros  Albert Rivera no descarta pactar con Vox en Andalucía: "Nos sentaremos con los partidos constitucionalistas para sumar una mayoría"</t>
  </si>
  <si>
    <t>https://pbs.twimg.com/media/DtmAzgYWsAAR-oK.jpg</t>
  </si>
  <si>
    <t>Santiago de Compostela</t>
  </si>
  <si>
    <t>Historiador Universidad de Santiago de Compostela. Fundador y Coordinador de Historia a Debate http://www.h-debate.com</t>
  </si>
  <si>
    <t>http://www.cbarros.com</t>
  </si>
  <si>
    <t>Le Monde advierte a Ciudadanos y carga contra Casado por "normalizar el discurso" de la extrema derecha  vía @eldiarioes A Albert Rivera le recuerda que está en plena negociación para concurrir a las elecciones europeas con los liberales europeos</t>
  </si>
  <si>
    <t>https://www.eldiario.es/_323bbcc6</t>
  </si>
  <si>
    <t>teachingestoy</t>
  </si>
  <si>
    <t>Qué tienen n común Santiago Abascal(líder de VOX) y Albert Rivera(líder de C's) además d sus aficiones y tratantes? -Racismo/Xenofobia/misoginia/homofobia/clasismo/insolidaridad/inhumanidad -hemorragias nasales ocasionales -ideas medievalistas/esclavismo/cosificación de la mujer</t>
  </si>
  <si>
    <t>Siempre de viaje...buscando...¿qué? Profesor de secundaria, yo aporto, ¿y tu què?</t>
  </si>
  <si>
    <t>http://myreverseblog.wordpress.com</t>
  </si>
  <si>
    <t>Mientras en Andalucía están deseando pactar con VOX Albert Rivera, Renzi, Verhofstadt y el jefe del partido de Macron publican un manifiesto para "rescatar la UE de los Salvini y los Orbán"</t>
  </si>
  <si>
    <t>https://m.eldiario.es/politica/Albert-Rivera-Verhofstadt-UE-Salvini_0_818918321.html#click=https://t.co/xjpEzT13en</t>
  </si>
  <si>
    <t>CARLES mai CARLOS 🎗🎗🇧🇪🇩🇪🇬🇧</t>
  </si>
  <si>
    <t>😂😂😂😂😂😂😂😂😂😂😂😂😂😂😂😂😂😂😂😂😂😂😂😂😂😂😂😂😂😂😂😂😂😂😂😂😂😂😂😂😂😂😂😂😂😂😂llevamos diciendolo hace tiempo, los analfabetos son proporcionales al crecimiento de la extrema derecha! A que si Màster Casado? Y a Albert Rivera ni preguntarle! Sigue buscando a Kant RT @jordijuan3: @peesege Y el Klu Klus Klan es de extrema derecha porque tu lo dices?</t>
  </si>
  <si>
    <t>https://twitter.com/jordijuan3/status/1069958854711095296</t>
  </si>
  <si>
    <t>...si quiere le acuso de Rebelión, y BLOQUEO AUTOMATICO A MACHISTAS.</t>
  </si>
  <si>
    <t>AYLA</t>
  </si>
  <si>
    <t>📌"Ku Klux Klan" | Albert Rivera. Estoy leyendo un libro sobre Confluencia de la izquierda en Andalucía y me encuentro con esta reflexión que la hicieron a Teresa Rodríguez sobre los matices del PP y Ciudadanos: ⏬⏬⏬⏬⏬</t>
  </si>
  <si>
    <t>https://pbs.twimg.com/media/Dtl7C7TX4AALqec.jpg</t>
  </si>
  <si>
    <t>Por un Mundo donde seamos socialmente iguales, humanamente diferentes y totalmente libres!</t>
  </si>
  <si>
    <t>Liberando 🇪🇸</t>
  </si>
  <si>
    <t>No hemos venido a la política a pedir sillas ni vetos. Albert Rivera</t>
  </si>
  <si>
    <t>https://pbs.twimg.com/media/Dtl6kVsW4AA3avb.jpg</t>
  </si>
  <si>
    <t>Las opiniones son libres; los hechos, sagrados</t>
  </si>
  <si>
    <t>SergioPP Fuenlabrada</t>
  </si>
  <si>
    <t>Palabra de @HerreraenCOPE Albert Rivera es un estratega regular y está a un paso d equivocarse. Está jugando. Dice que el PP es corrupto, ya veremos lo que son ellos cuando lleven 20 años. Se la juegan. Proponer al tercero para liderar el cambio habiendo ganado el PP, es 1 locura</t>
  </si>
  <si>
    <t>Fuenlabrada, Comunidad de Madrid</t>
  </si>
  <si>
    <t>Presidente/Portavoz Partido Popular de #Fuenlabrada. Secretario de Coordinación Territorial @ppmadrid Liberal. Estudiante de Derecho en @UNIRuniversidad</t>
  </si>
  <si>
    <t>http://www.ppfuenlabrada.es</t>
  </si>
  <si>
    <t>chema</t>
  </si>
  <si>
    <t>Me ha gustado un vídeo de @YouTube ( - Íñigo Errejón confirma que Albert Rivera es el flipado del Congreso</t>
  </si>
  <si>
    <t>http://youtu.be/3VN0ssOXhis?a</t>
  </si>
  <si>
    <t>Mañana nos vemos en Barcelona para celebrar #40AñosDeConstitución junto a @InesArrimadas y @manuelvalls. Debemos defender y reivindicar con orgullo la norma que tantos años de unión y prosperidad ha dado a los españoles. 🇪🇸</t>
  </si>
  <si>
    <t>https://pbs.twimg.com/media/Dtl23edWsAA_t7j.jpg</t>
  </si>
  <si>
    <t>✴MaRiHt✴ ❤💛💜</t>
  </si>
  <si>
    <t>Ciudadanos sigue manteniendo que debe gobernar el partido más votado Sin embargo, Albert Rivera se ha apresurado a desmentir tal información "Esa regla sólo es aplicable en Cataluña y sólo si ganamos nosotros", ha zanjado</t>
  </si>
  <si>
    <t>https://www.gacetaglobal.com/noticia/ciudadanos-sigue-manteniendo-que-debe-gobernar-el-partido-mas-votado</t>
  </si>
  <si>
    <t>La magia está en todo aquello que no esperamos que suceda y sucede, en todo aquello que no era y de repente, es. UNIDOS PODEMOS.¯\_(ツ)_/¯</t>
  </si>
  <si>
    <t>🐻Xan</t>
  </si>
  <si>
    <t>Albert Rivera regenerando a política dende o 2006 e Santiago Abascal dende 1996 👌🏻</t>
  </si>
  <si>
    <t>https://pbs.twimg.com/media/Dtl0T8HWwAAaAtW.jpg</t>
  </si>
  <si>
    <t>"Quando nasci na Galiza chamavam-me neno rico. Como ia ser pobre nascendo num paraíso" Xoán Corral</t>
  </si>
  <si>
    <t>Anavel</t>
  </si>
  <si>
    <t>👇👇👇👇👇👇He firmado una petición dirigida a Sr. Albert Rivera que dice: "Al PSOE ni agua, Sr. Rivera" ¿Quieres firmar tu también? Click aquí:</t>
  </si>
  <si>
    <t>http://www.citizengo.org/hazteoir/pc/167099-al-psoe-ni-agua-sr-rivera?tc=wp&amp;tcid=52510153</t>
  </si>
  <si>
    <t>Entre el Cielo y la Tierra</t>
  </si>
  <si>
    <t>Si. Anavel con V. El Ángel al Servicio de Dios. Hace tiempo que bajé el volumen de lo que escucho y subí el tono de lo que siento. 🇪🇸🇪🇸🇪🇸🇪🇸🇪🇸</t>
  </si>
  <si>
    <t>Oniria</t>
  </si>
  <si>
    <t>Cada día Albert Rivera me recuerda más a Alejandro Lerroux. Que si somos socialdemócratas pero luego liberales progresistas, que si pacto con fascistas...</t>
  </si>
  <si>
    <t>Ciencias Políticas UCM 📚📌 «Looking for the answer» - Sometimes i wish i couldn't feel -</t>
  </si>
  <si>
    <t>Albert Rivera y Pablo Casado coinciden en que ciertamente VOX es anticonstitucionalista, pero en el sentido bueno.</t>
  </si>
  <si>
    <t>Y mientras Albert Rivera desprecia a los votantes de @vox_es en Andalucía, el candidato de C’s en Cataluña dice esto de los resultados 👇 RT @manuelvalls: La extrema derecha ha emergido en España. Ahora más que nunca es el momento de la responsabilidad y de recuperar el centro político. Pactos inteligentes, moderados y con sentido común, por el futuro de #España y de #Europa.</t>
  </si>
  <si>
    <t>https://twitter.com/albert_rivera/status/1069709488574337025</t>
  </si>
  <si>
    <t>Álvaro en Diferido</t>
  </si>
  <si>
    <t>Albert Rivera quiere que C's presida la Junta de Andalucía con 21 de 108 diputados y siendo tercera fuerza. Si algo similar lo estuviese proponiendo Unidos Podemos tendríamos a las tertulias televisivas llamándoles de todo a voces.</t>
  </si>
  <si>
    <t>Getafe, Madrid</t>
  </si>
  <si>
    <t>Derecho y Ciencias Políticas en la UC3M. Manchego residente en el sur de Madrid. Participo en @getafense_es. Intento ser más Sancho que Quijote.</t>
  </si>
  <si>
    <t>Rossina</t>
  </si>
  <si>
    <t>Albert Rivera, Renzi, Verhofstadt y el jefe del partido de Macron publican un manifiesto para "rescatar la UE de los Salvini y los Orbán"  vía @eldiarioes</t>
  </si>
  <si>
    <t>https://www.eldiario.es/_30cfb3b1</t>
  </si>
  <si>
    <t>Roja, de convicciones fuertes, Igualitaria.</t>
  </si>
  <si>
    <t>Os acordáis cundo Albert Rivera era el Macrom español? 😂😂😂 ¿Creéis que los del "a por ellos" harían esto aquí? Solo hay que ver como se emplean desahuciado ancianas y a que fascistas apoyan sus plataformas y sindicatos.</t>
  </si>
  <si>
    <t>https://www.facebook.com/567778703298149/posts/1976167982459207/</t>
  </si>
  <si>
    <t>ALBERT RIVERA criba corruptos 🗣️ Caracas, 🔔 JÓVENES ANCIANOS,</t>
  </si>
  <si>
    <t>https://goo.gl/i1UjCm?leg96=2218551670</t>
  </si>
  <si>
    <t>Ca(r)les</t>
  </si>
  <si>
    <t>Albert Rivera en el 8M apoyando la lucha obrera que promueve el feminismo RT @MagdalenaProust: La única huelga general ha sido feminista pero la culpa es del feminismo por olvidar el discurso de clase. ¿Seguro que somos nosotras las que nos hemos olvidado de la lucha obrera?</t>
  </si>
  <si>
    <t>https://twitter.com/MagdalenaProust/status/1069602366293491714</t>
  </si>
  <si>
    <t>Marte, El planeta rojo</t>
  </si>
  <si>
    <t>Marxista de día, Laker de noche</t>
  </si>
  <si>
    <t>El lider del KKK en los 80 celebrando el ascenso de Vox. Y Albert Rivera no descarta pactar con ellos... RT @DrDavidDuke: 🔴🗳️ VOX triumphs in Andalusia! 12 seats and the end of the socialist regime 🇪🇸 #EspañaViva makes it history and shows that change is possible. The Reconquista begins in the Andalusian lands and will be extended in the rest of Spain 📣 #AndalucíaPorEspaña</t>
  </si>
  <si>
    <t>DesInfo CAT |</t>
  </si>
  <si>
    <t>POLÍTICA | Albert Rivera: "Es indignante que el Ku Klux Klan felicite a VOX por su victoria y cuando Ciudadanos ganó en Cataluña no lo hicieran."</t>
  </si>
  <si>
    <t>https://pbs.twimg.com/media/DtlrhvAX4AEGNQy.jpg</t>
  </si>
  <si>
    <t>Portal de notícies satíriques dirigit des de la rebotiga d'un colmado latino. Segueix-nos per estar desinformat. Humor català 100% lliure de rigor periodístic.</t>
  </si>
  <si>
    <t>Gabriel Fidalgo Cid</t>
  </si>
  <si>
    <t>http://www.alertadigital.com/2018/12/03/la-insoportable-levedad-de-albert-rivera/#.XAa1IVpZ1Bw.twitter</t>
  </si>
  <si>
    <t>Maite Castillo</t>
  </si>
  <si>
    <t>Es un diminutivo guasón pero ni machista ni asqueroso. ¿ nunca has oído cómo se llama naranjito a Albert Rivera? RT @Virginiapalonso: Y los de Vox cantan “adiós, Susanita”. Susanita. El clásico diminutivo machista asqueroso que nunca se le dedica a un hombre. Esto es el comienzo. Solo.</t>
  </si>
  <si>
    <t>https://twitter.com/Virginiapalonso/status/1069356581798715392</t>
  </si>
  <si>
    <t>Donostiarra. Periodista de formación, vocación y experiencia. Amante de la literatura. Residente en Madrid.</t>
  </si>
  <si>
    <t>gonzaire</t>
  </si>
  <si>
    <t>"Yo no veo nazis y judíos, yo solo veo alemanes. Yo no veo miembros del Ku Klux Klan y negros, yo solo veo estadounidenses. Yo no veo camisas negras y partisanos, yo solo veo italianos" Albert Rivera updated 💬</t>
  </si>
  <si>
    <t>En la trastienda</t>
  </si>
  <si>
    <t>Aburrirse es contrarrevolucionario</t>
  </si>
  <si>
    <t>http://instagram.com/gonzaire_</t>
  </si>
  <si>
    <t>gonzalo</t>
  </si>
  <si>
    <t>natalia: "albert rivera ha hecho algunos puntos" yo flipo 😶</t>
  </si>
  <si>
    <t>irene: when i say faggot i mean it in a feminist way</t>
  </si>
  <si>
    <t>ALBERT RIVERA denota que PROCEDE del PP mas CONSERVADOR 🔈 VERDAD = LIBERTAD, 🌍 MANDATO IMPERATIVO,</t>
  </si>
  <si>
    <t>https://goo.gl/7eQaCN?gpa52=4867690042</t>
  </si>
  <si>
    <t>Consuelo Alvarez</t>
  </si>
  <si>
    <t>Contestado a Rosa Diez y a otros: Escuchen la intervención de Paco Vazquez.</t>
  </si>
  <si>
    <t>https://www.google.com/search?q=paco%20vazquez%20y%20albert%20rivera</t>
  </si>
  <si>
    <t>Abogada, Master Mediacion, Terapia 3a Generacion, y Coach. Aceptando el misterio y la incertidumbre...</t>
  </si>
  <si>
    <t>JoBadajoz ☭</t>
  </si>
  <si>
    <t>Decían los medios que Manuel Valls era el Albert Rivera francés. Nada más que decir.</t>
  </si>
  <si>
    <t>Badajoz - Extremadura</t>
  </si>
  <si>
    <t>Si me vas a mandar a Cubazuela del Norte escríbeme un MD y te doy mi dirección para que me mandes los billetes de avión.</t>
  </si>
  <si>
    <t>Dubee</t>
  </si>
  <si>
    <t>Acabo de darme cuenta de que Albert Rivera no me tiene bloqueada en esta cuenta. :(</t>
  </si>
  <si>
    <t>Me he hecho otra cuenta porque una TERF se obsesionó conmigo y envió a sus followers a denunciar mis tuits. Rezo por su alma en mis ratos libres.</t>
  </si>
  <si>
    <t>Fernando Durán</t>
  </si>
  <si>
    <t>Dice Pablo Casado que @ahorapodemos lleva años fuera de la Constitución y mientras, comienza a buscar acuerdos con VOX en Andalucía. Este necio y su gemelo Albert Rivera, no creo que presidan nunca ni su comunidad de vecinos Ku Klus Klan #VOX #Fascismo #PP</t>
  </si>
  <si>
    <t>https://www.europapress.es/nacional/noticia-casado-podemos-lleva-fuera-constitucion-varios-anos-nadie-dicho-nada-20181204155944.html</t>
  </si>
  <si>
    <t>❤️💛💜 #EnergíasRenovables y tecnología que aportan soluciones: al #MedioAmbiente, pobreza, paro y #CambioClimático. #NuclearesNO #StopCO2. #RealMadrid ⚽️ #UPP</t>
  </si>
  <si>
    <t>Bienvenidos a la Resistencia</t>
  </si>
  <si>
    <t>En definitiva, para la izquierda Aznar y el PP eran fascistas; luego, como aquello se caía, fascista era el joseantoniano Albert Rivera (aunque pactaran con él la investidura), estuvo cerca la propia Susana Díaz y ahora lo es Abascal. A este paso va a ser fascista hasta Peppa Pig</t>
  </si>
  <si>
    <t>Nací a principios de los 80 al sur de Despeñaperros. Nacionalidad Unipersonal Histórica con derecho a deuda no menos histórica. No soy partidario de lo malo.</t>
  </si>
  <si>
    <t>http://ignacioromero.blogspot.com</t>
  </si>
  <si>
    <t>Su Notísima Reloaded</t>
  </si>
  <si>
    <t>-¿Dónde situaría usted ideológicamente a estos señores del Ku Klux Klan, señor Albert Rivera? -No sé, mire usté, yo no soy politólogo. -Están quemando a un señor negro delante suyo ahora mismo. -Que de lo que no sé no hablo, oiga...</t>
  </si>
  <si>
    <t>"Yeah? Well... that´s just like... your opinion, man." Soy rojeras y a mucha honra. Si no te gusta, cómprate un Colajet y vete a darle por culo a otro.</t>
  </si>
  <si>
    <t>Julia Escobar</t>
  </si>
  <si>
    <t>¡Pobre Albert Rivera, abocado a pactar entre la verdadera y veterana extrema izquierda de los hunos y la supuesta y recién nacida extrema derecha de los otros!</t>
  </si>
  <si>
    <t>Escritora, traductora, crítica literaria, pero también ex librera, ex editora, etc. Caballero de la Orden de las Artes y las Letras de la República Francesa</t>
  </si>
  <si>
    <t>http://www.laquimera.typepad.com</t>
  </si>
  <si>
    <t>Albert Rivera tiene que calibrar bien las consecuencias de pedir el voto a Vox en Andalucía</t>
  </si>
  <si>
    <t>https://cronicaglobal.elespanol.com/politica/ciudadanos-europeizacion-derechizacion_204180_102.html</t>
  </si>
  <si>
    <t>Al líder del Ku Klux Klan le gusta VOX porque es un ejemplo de diálogo y moderación. Por eso Pablo Casado y Albert Rivera no descartan pactar, supongo.</t>
  </si>
  <si>
    <t>Bassel</t>
  </si>
  <si>
    <t>Sólo vine a escribir... Si me siguen sigo... No quiero líos no interactuo... No estoy ni vengo a por nadie... Gracias</t>
  </si>
  <si>
    <t>I am Heisenberg</t>
  </si>
  <si>
    <t>Albert Rivera ya no es el Macron español, no?</t>
  </si>
  <si>
    <t>Tengo twitter :D</t>
  </si>
  <si>
    <t>Experto en procrastinación avanzada</t>
  </si>
  <si>
    <t>http://www.mientemimente.wordpress.com</t>
  </si>
  <si>
    <t>Elisa</t>
  </si>
  <si>
    <t>Este es el número 1 de VOX por Andalucía con el que Albert Rivera y Pablo Casado quiere gobernar. Nada más que añadir. #PresidenciaAndaluzaARV</t>
  </si>
  <si>
    <t>https://pbs.twimg.com/media/DtlMprcW4AMJSWB.jpg</t>
  </si>
  <si>
    <t>e4.Málaga.e5.</t>
  </si>
  <si>
    <t>Lu🦋</t>
  </si>
  <si>
    <t>Pablo Casado y Albert Rivera también han votado a VOX que no os engañen.</t>
  </si>
  <si>
    <t>Somewhere else</t>
  </si>
  <si>
    <t>19. Dancing queen young and sweet only nineteen✨</t>
  </si>
  <si>
    <t>Juan Luis Ortega</t>
  </si>
  <si>
    <t>El antiguo líder del Ku Klux Klan felicita a Vox. Que cada uno saque sus conclusiones...sobre todo Albert Rivera #Cs y Pablo Casado #PP</t>
  </si>
  <si>
    <t>The World</t>
  </si>
  <si>
    <t>Fan de sus satánicas majestades...(The Rolling Stones) y de Marx (Groucho) y del otro Marx (Harpo)</t>
  </si>
  <si>
    <t>Hermes ☭</t>
  </si>
  <si>
    <t>Me voy el viernes a Granada y estoy más emocionado que Albert Rivera en una rave.</t>
  </si>
  <si>
    <t>Macondo.</t>
  </si>
  <si>
    <t>'Lo único más fuerte que nuestro amor por la libertad es el odio a quien nos la quita''.</t>
  </si>
  <si>
    <t>https://lesfilsdubaron.tumblr.com/</t>
  </si>
  <si>
    <t>Carlos Esteban</t>
  </si>
  <si>
    <t>A ver, que me aclare, Albert Rivera sigue siendo falangista o ya no?</t>
  </si>
  <si>
    <t>?</t>
  </si>
  <si>
    <t>Miquel Bonet</t>
  </si>
  <si>
    <t>Tres derechas y un único zar: José María Aznar. Sólo Aznar puede dirigir estratégicamente el consorcio y ya está en ello. Pablo Casado, que fue su jefe de gabinete, le obedece. Albert Rivera le escucha. Santiago Abascal , jefe de filas de Vox, exmilitante del PP vasco, le admira. RT @StevenForti: Aconsejo la lectura de este análisis de @EnricJuliana --&gt; La debacle de la izquierda andaluza abre paso al consorcio de las derechas @lavanguardia</t>
  </si>
  <si>
    <t>https://twitter.com/StevenForti/status/1069903707804966913
http://shr.gs/kWWVpsR</t>
  </si>
  <si>
    <t>Orgull sudista</t>
  </si>
  <si>
    <t>Feminista i persona.</t>
  </si>
  <si>
    <t>http://TarragonaDigital.com</t>
  </si>
  <si>
    <t>Luna azul</t>
  </si>
  <si>
    <t>A los tweets de Albert Rivera hay que leerles los comentarios. Eso está genial. Desde cuidado y traicionas a los andaluces desde amenazas de nunca volver a votarles. Si yo los leo, él debería leerlos también 🤣🤣🤣🤣😂</t>
  </si>
  <si>
    <t>Tuiteando y retuiteando en tiempo irreal... Género femenino xx, del normal de toda la vida</t>
  </si>
  <si>
    <t>Giró hizo uno de sus peculiares análisis</t>
  </si>
  <si>
    <t>http://bit.ly/2FY0BRd</t>
  </si>
  <si>
    <t>Albert Rivera C´s declaración la noche electoral de 2 diciembre de 2018,tras conocer los resultados de las elecciones autonómicas de Andalucia</t>
  </si>
  <si>
    <t>https://pbs.twimg.com/media/Dtk6muAX4AI1m29.jpg</t>
  </si>
  <si>
    <t>Vamos, q el Ku Klux Klan y todos los líderes de la ultraderecha del mundo menos Albert Rivera y Pablo Casado han felicitado a VOX por sus resultados.</t>
  </si>
  <si>
    <t>JESS</t>
  </si>
  <si>
    <t>Si al final se confirma el peor de los presagios y el fascismo entra en el Gobierno de Andalucía, habrá que aplicar allí un 155 sin complejos (como dirían Pablo Casado y Albert Rivera) y aquí paz y después gloria. #PresidenciaAndaluzaARV</t>
  </si>
  <si>
    <t>De la submeseta sur. Me gusta doblar esquinas: nunca sabes lo que te vas a encontrar.</t>
  </si>
  <si>
    <t>Inmoavery.com</t>
  </si>
  <si>
    <t>Por y segun D. Joaquin Vila:¿Impedirá Albert Rivera el “cambio de régimen”? | El Imparcial</t>
  </si>
  <si>
    <t>https://www.elimparcial.es/noticia/196298/opinion/impedira-albert-rivera-el-cambio-de-regimen.html</t>
  </si>
  <si>
    <t>Marbella . España .</t>
  </si>
  <si>
    <t>*Información especializada en general .ESPAÑA 1º.</t>
  </si>
  <si>
    <t>http://www.inmoavery.com</t>
  </si>
  <si>
    <t>Maku Benveniste🎯⚓😘🇪🇸💪🇪🇸💪🇪🇸💪🇪🇸</t>
  </si>
  <si>
    <t>¿Le habéis mirado el careto a Albert Rivera? Tiene cara yonki. Es yonki del poder con la Gusana Díaz.</t>
  </si>
  <si>
    <t>Auxiliar de Enfermería. Libre pensador. De Vox. Admirador de Jesús. Seguidor de la Santa Conciencia, Nuestro Señor. Orgulloso de ser Español...</t>
  </si>
  <si>
    <t>4 asesinatos de la policia del Albert Rivera francés, ni mu la tele, pero estás bien informado RT @Shine_McShine: La policía francesa ha matado a una mujer de 80 años en marsella con un proyectil de gas. Ya van CUATRO MUERTOS en las manifestaciones contra Macrón:</t>
  </si>
  <si>
    <t>https://twitter.com/Shine_McShine/status/1069745608150388736
https://www.bbc.com/news/world-46429930</t>
  </si>
  <si>
    <t>Y Albert Rivera lo mismo RT @_World_Be_Free_: @Potepkim @VickyRosell @revistamongolia Steve Bannon lleva meses, desde que salió de la Casa Blanca, intentando unir a todos los partidos de extrema derecha para ir juntos a las Europeas y desde dentro destrozar la UE...Parece que tanto Abascal como Pablo Casado forman parte del proyecto...</t>
  </si>
  <si>
    <t>https://twitter.com/_world_be_free_/status/1069900012598030336
https://www.eldiario.es/politica/Steve-Bannon-extrema-derecha-Europa-Pablo-Casado_0_821368075.html</t>
  </si>
  <si>
    <t>𝓐𝓝𝓐 ❀</t>
  </si>
  <si>
    <t>QUE EL REFLEJO ES LA CARA DE ALBERT RIVERA RT @Llorandingdong: Cualquier miembro de bts: *haciendo un live* Jimin:</t>
  </si>
  <si>
    <t>https://twitter.com/Llorandingdong/status/1069922645372751877</t>
  </si>
  <si>
    <t>https://pbs.twimg.com/media/Dtkg-OKW0AEdqH6.jpg</t>
  </si>
  <si>
    <t>Bormujos, España</t>
  </si>
  <si>
    <t>Bad Bitches only 🏳‍🌈</t>
  </si>
  <si>
    <t>http://instagram.com/anitaricoruiz25</t>
  </si>
  <si>
    <t>Jorge Zuazola</t>
  </si>
  <si>
    <t>Germany</t>
  </si>
  <si>
    <t>Leadership guru. Amazon Author. https://lnkd.in/eqhQnMN Founder of Spanish Leadership, German Leadership and American Leadership RTs are not endorsements</t>
  </si>
  <si>
    <t>No sé hasta qué punto Albert Rivera estaba dispuesto a "enseñar a pescar a los andaluces". De lo que sí casi podéis estar seguros, es que dentro de muy poco, ellos junto al PP y el resto del fascio, sí que van a estar "pescando" en Andalucía...</t>
  </si>
  <si>
    <t>Nos vemos mañana, día 5 de Diciembre, para conmemorar los 40 años de Constitucionalismo junto a Albert Rivera, Inés Arrimadas y Manuel Valls. #40anosdeconstitucion #Csteam #Cs</t>
  </si>
  <si>
    <t>https://pbs.twimg.com/media/Dtk0NsIW4AAi3U-.jpg</t>
  </si>
  <si>
    <t>Jorge Vilches</t>
  </si>
  <si>
    <t>Pablo Iglesias dijo en el Congreso que Albert Rivera tenía un discurso "propio de un fascista" y le llamaban "falangito". Ahora quieren dar a Cs el gobierno en Andalucía 👇</t>
  </si>
  <si>
    <t>https://pbs.twimg.com/media/Dtkx8a7XcAIG-dJ.jpg</t>
  </si>
  <si>
    <t>Politólogo. Historiador. Profesor UCM. Escribo en @larazon_es @elespanolcom @voz_populi @Disidentia Hablo en @HerreraenCope Coautor #ContraLaSocialdemocracia</t>
  </si>
  <si>
    <t>Protestona 🇵🇹</t>
  </si>
  <si>
    <t>A ver señor del Ku Klux Klan, llame usted a Pablo Casado y a Albert Rivera que le van a explicar que VOX no es un partido fascista y que el verdadero peligro para España es Podemjajajajajajajajajajajaajaja RT @DrDavidDuke: 🔴🗳️ VOX triumphs in Andalusia! 12 seats and the end of the socialist regime 🇪🇸 #EspañaViva makes it history and shows that change is possible. The Reconquista begins in the Andalusian lands and will be extended in the rest of Spain 📣 #AndalucíaPorEspaña</t>
  </si>
  <si>
    <t>Republicana, feminista, atea y roja. Partisana. De Podemos. http://Instagram.com/Protestona1 TLG https://t.me/protestona1 https://www.facebook.com/Protestona2/</t>
  </si>
  <si>
    <t>http://alcantarillasocial.com/author/protestona1</t>
  </si>
  <si>
    <t>Marcel Requena</t>
  </si>
  <si>
    <t>Pero Albert Rivera no sabe si son de extrema derecha.😂 RT @XSalaimartin: David Duke, líder SUPREMACISTA blanco y ex gran maestre del Ku Klux Klan, felicita a Vox por el resultado en Andalucía. Poco a poco, va quedando claro quienes son los supremacistas.</t>
  </si>
  <si>
    <t>Llinars del Vallès, Espanya</t>
  </si>
  <si>
    <t>influencer de merda.</t>
  </si>
  <si>
    <t>El mundo al revés: el xenófobo Torra llama ‘bestias taradas’ a todos los españoles y se querella contra un demócrata valiente que lo denuncia públicamente. Todo mi apoyo a mi compañero y amigo @JuanMarin_Cs #todosSomosJuan</t>
  </si>
  <si>
    <t>https://www.lavanguardia.com/politica/20181204/453340121203/quim-torra-querella-candidato-cs-andalucia-juan-marin-injurias-calumnias.html?utm_campaign=botones_sociales&amp;utm_source=whatsapp&amp;utm_medium=social</t>
  </si>
  <si>
    <t>Andrés Santo #EspañaLoPrimero</t>
  </si>
  <si>
    <t>Albert Rivera desprecia a VOX y pide a PP y PSOE que hagan a Marín Presidente  vía @Elmunicipio.es - Por una sociedad de hombres libres</t>
  </si>
  <si>
    <t>https://elmunicipio.es/2018/12/albert-rivera-desprecia-a-vox/</t>
  </si>
  <si>
    <t>🇪🇸Fundador de Unión de Patriotas / Simpatizante de @vox_es/ Frente Nacional de Le Pen /@FratellidItaIia de @GiorgiaMeloni /Análisis Político y Social/CCPP-UNED</t>
  </si>
  <si>
    <t>Javilon5</t>
  </si>
  <si>
    <t>Albert Rivera evita catalogar al Ku Klux Klan porque él no es analista político. Eso se lo deja a ustedes.</t>
  </si>
  <si>
    <t>Si no queda satisfecho le devolvemos su... ¿tiempo? No. No sé.</t>
  </si>
  <si>
    <t>Pedro Vozmediano</t>
  </si>
  <si>
    <t>Cuándo el Terror se viste con un traje parece menos malo de lo que es. Ahora Pablo Casado y Albert Rivera estarán orgullosos. Qué Vergüenza.</t>
  </si>
  <si>
    <t>https://m.eldiario.es/rastreador/Klux-Klan-Vox-Reconquista-Andalucia_6_842775724.html</t>
  </si>
  <si>
    <t>Puertollano</t>
  </si>
  <si>
    <t>Consejo Ciudadano de Castilla la Mancha. El ser humano desvela lo mejor y peor. luchemos por lo mejor.</t>
  </si>
  <si>
    <t>Pepito Vadecurt</t>
  </si>
  <si>
    <t>Albert Rivera evitando catalogar al Ku Klux Klan como extrema derecha porque no es analista político RT @eldiarioes: El antiguo líder del Ku Klux Klan felicita a Vox: "La Reconquista empieza en Andalucía"</t>
  </si>
  <si>
    <t>Malauradament sabíem que també la ira contra la injustícia endureix les faccions.</t>
  </si>
  <si>
    <t>Fijatetu Erestu</t>
  </si>
  <si>
    <t>Si PSOE y Podemos quieren evitar el mal mayor (gobierno de PP y Vox) y Albert Rivera mantiene el pulso por presidir la Junta, no descarto que Susana Díaz acabe negociando su apoyo a Ciudadanos, mientras que Adelante Andalucía se abstiene. RT @elconfidencial: AMPLIACIÓN: Casado no descarta ceder consejerías a Vox en un Gobierno de Juanma Moreno</t>
  </si>
  <si>
    <t>https://twitter.com/elconfidencial/status/1069929812574105601
https://www.elconfidencial.com/elecciones-andalucia/2018-12-04/casado-no-descarta-ceder-consejerias-a-vox-en-un-gobierno-de-juanma-moreno_1685222/?utm_source=twitter&amp;utm_medium=social&amp;utm_campaign=ECDiarioManual</t>
  </si>
  <si>
    <t>Sección de congelados.</t>
  </si>
  <si>
    <t>Soy yo el que sigue aquí, soy yo ya te lo advertí.</t>
  </si>
  <si>
    <t>Pablo Echenique</t>
  </si>
  <si>
    <t>Pablo Casado y Albert Rivera dicen que los que subimos el salario mínimo a 900€ somos los peligrosos. Que ellos van a gobernar en Andalucía con gente muy maja cuyo líder lleva pistola y es apoyado por los que asesinan gente por el color de su piel.</t>
  </si>
  <si>
    <t>Científico del CSIC en @ahorapodemos. Buscando e intentando reconocer quién y qué, en medio del infierno, no es infierno. Para hacerlo durar, y darle espacio.</t>
  </si>
  <si>
    <t>https://www.facebook.com/pablo.echenique/</t>
  </si>
  <si>
    <t>Giró hizo uno de sus peculiares análisis | Vía @En_Blau_es</t>
  </si>
  <si>
    <t>¿Alguien se fia de Albert Rivera? "Albert Rivera, Matteo Renzi, Guy Verhofstadt y el jefe del partido de Macron publicaron en varios medios un manifiesto para "rescatar la UE de los Salvini y los Orbán" "</t>
  </si>
  <si>
    <t>https://www.eldiario.es/politica/Vox-Andalucia-PP-Ciudadanos-estrategia_0_842366447.html</t>
  </si>
  <si>
    <t>M Q A</t>
  </si>
  <si>
    <t>La disyuntiva de Albert Rivera; no sabe hacia donde avanzar para un 'golpasso' suave, izquierda con PSO€, derecha con VOX, o más solo que la una en el centro, esta vez siempre pierde.</t>
  </si>
  <si>
    <t>UE/The World/Asgardiano</t>
  </si>
  <si>
    <t>¡Plumilla APARTIDISTA! La actualidad tratada como ¡Sátira Humorística 😀 ¡Mis 'piuladas' son humor, sátira o cabreo responsable! 😜</t>
  </si>
  <si>
    <t>DR</t>
  </si>
  <si>
    <t>Miradlo por el lado bueno, ahora que Vox tiene representación parlamentaria, Albert Rivera ya podrá responder si son de ultraderecha y fascistas o no.</t>
  </si>
  <si>
    <t>Casa/calle/bar...</t>
  </si>
  <si>
    <t>La vida pirata es la vida mejor</t>
  </si>
  <si>
    <t>El amigo de Albert Rivera, Macron, recula. El Gobierno francés anunciado una moratoria de seis meses sobre el aumento de la tasa del gasoil.</t>
  </si>
  <si>
    <t>Francisco Muñoz Baez</t>
  </si>
  <si>
    <t>Que fascinante es que C's siempre ha sido ''Falanguito'', o ''Albert Primo de Rivera'', ''derecha extrema'' y etc y hoy tooooooooooooda la izquierda apelando a su ''centrismo'' y su ''liberalismo'' para que no pacte con VOX. Resulta infantil, incluso gracioso.</t>
  </si>
  <si>
    <t>Alhaurin de la Torre(Málaga)</t>
  </si>
  <si>
    <t>Abogado y alhaurino.También política, series y opiniones varias.</t>
  </si>
  <si>
    <t>JUAN-K</t>
  </si>
  <si>
    <t>Cuándo Mariano Rajoy estaba en la presidencia y no era el títere de Aznar. Aznar hablaba maravillas de Albert Rivera de Ciudadanos. Ahora le blanquea la cara a Vox. Hay alguna duda de que son lo mismo? Extrema derecha!! Ascazo!! #PresidenciaAndaluzaARV</t>
  </si>
  <si>
    <t>https://pbs.twimg.com/media/DtkhvICW0AE8qQI.jpg</t>
  </si>
  <si>
    <t>A José María Aznar le gustaba mucho Ciudadanos de Albert Rivera y ahora le gusta mucho Santiago Abascal de Vox esta claro, son extrema derecha! Todos!! PP Cs. VOX LO MISMO! #PresidenciaAndaluzaARV</t>
  </si>
  <si>
    <t>https://pbs.twimg.com/media/DtkgMHhW0AA3fBO.jpg</t>
  </si>
  <si>
    <t>Los totalitarios separatistas vuelven a acosar e insultar a @manuelvalls en Barcelona. Tienes todo mi apoyo, Manuel, seguiremos defendiendo la libertad, la unión y la democracia por toda Cataluña y por toda España. #NoNosCallarán</t>
  </si>
  <si>
    <t>Jose Angel</t>
  </si>
  <si>
    <t>artistamiyares: Albert RIVERA ��SACUDE COMO NUNCA�� a Pedro SÁNCHE...</t>
  </si>
  <si>
    <t>https://blogmiyares.blogspot.com/2018/12/albert-rivera-sacude-como-nunca-pedro.html?spref=tw</t>
  </si>
  <si>
    <t>Amante de la honradez y de la equidad.Siempre en defensa del débil y la verdad.</t>
  </si>
  <si>
    <t>http://blogmiyares.blogspot.com/</t>
  </si>
  <si>
    <t>Albert Rivera vino a Madrid por su rechazo al independentismo y la unidad de España y ahora quiere pactar con PSOE Y PODEMOS socios de independentistas.. vaya fiasco</t>
  </si>
  <si>
    <t>Antifascistas País Valencià</t>
  </si>
  <si>
    <t>Que dice Manuel Valls que la culpa del fascismo es de las feministas, antifascistas, lgtbi, rojos, inmigrantes, refugiados... No ha dicho nada de Albert Rivera promoviendo enfrentamientos territoriales</t>
  </si>
  <si>
    <t>https://pbs.twimg.com/media/DtkamIVXcAAJaQ2.jpg</t>
  </si>
  <si>
    <t>También en @15mparato, @Bdspaisvalencia @cspescados http://Facebook.com/Spainonymous http://Facebook.com/cspescados</t>
  </si>
  <si>
    <t>http://spainonymous.tumblr.com/</t>
  </si>
  <si>
    <t>Colombia sin Comunismo</t>
  </si>
  <si>
    <t>Ciudadanos, la estafa naranja; Albert Rivera, un veleta sin principios y más falso que un billete...</t>
  </si>
  <si>
    <t>http://dlvr.it/QsnV5f</t>
  </si>
  <si>
    <t>https://pbs.twimg.com/media/DtkZuXZUcAEWaCl.jpg</t>
  </si>
  <si>
    <t>Alejandome del Comunismo</t>
  </si>
  <si>
    <t>Noticias de Colombia y España. Centro Democratico y Uribista. Libertario que rechaza tiranias, abusadores de poder y Nuevo Orden Mundial.</t>
  </si>
  <si>
    <t>https://www.youtube.com/watch?v=IZfcG0rPxrs</t>
  </si>
  <si>
    <t>Antonio Medina</t>
  </si>
  <si>
    <t>Albert Rivera, “Riverita”, puedes estar acabado, segun tires para un lado u otro.</t>
  </si>
  <si>
    <t xml:space="preserve">Mairena del Aljarafe </t>
  </si>
  <si>
    <t>Autonomo toda la vida.Buena http://persona.De derechas,aficionado al futbol y los Toros. Exvotante del PP,ahora votaré VOX. Defiendo la Unidad de España. No Autonomias</t>
  </si>
  <si>
    <t>Gonzalo Gurrea</t>
  </si>
  <si>
    <t>Por fin he visto la genial “Manchester frente al mar”. Lo que hace Albert Rivera es acojonante…</t>
  </si>
  <si>
    <t>https://pbs.twimg.com/media/DtkY98eXgAM6aYS.jpg</t>
  </si>
  <si>
    <t>Director/Guionista/Actor/Bailarín. CONFESIÓN, CUTANDA E HIJOS, y ahora la 2T de FRACASADOS POR EL MUNDO</t>
  </si>
  <si>
    <t>http://www.gonzalogurrea.com/</t>
  </si>
  <si>
    <t>Albert Rivera firmó un manifiesto contra la extrema derecha en Europa. ¿Qué hará frente a la propuesta del PP de un pacto de gobierno en Andalucía con el apoyo de Vox? #AndaluciaAntifascista #FelizMartes</t>
  </si>
  <si>
    <t>Kaarlos67</t>
  </si>
  <si>
    <t>Ahora en BCN , Manuel Valls yo diria que tiene el mismo camello que Albert Rivera.</t>
  </si>
  <si>
    <t>El Ku Klux Klan, el cambio sensato que soñó Albert Rivera.</t>
  </si>
  <si>
    <t>¿Impedirá Albert Rivera el “cambio de régimen”?</t>
  </si>
  <si>
    <t>Pablo Casado y Albert Rivera volver al pasado le llaman cambio.</t>
  </si>
  <si>
    <t>Big Crueisy</t>
  </si>
  <si>
    <t>He aquí la canción favorita de Albert Rivera a la hora de decidir si pacta con una fuerza u otra:  #AndaluciaAntifascista #EleccionesAndalucía #4DeDiciembre #VOX #Ciudadanos</t>
  </si>
  <si>
    <t>https://youtu.be/e2Ayc-WIK_Y</t>
  </si>
  <si>
    <t>Españistán. No me dejo manipular. Investigo y saco mis propias conclusiones. Si consideras que alguna de ellas puede ser de interés, Retweet. No busco la fama.</t>
  </si>
  <si>
    <t>@carmengarrido52</t>
  </si>
  <si>
    <t>Albert Rivera en la sexta noche: "El fascismo es algo muy grave que por suerte no existe en este país ni está permitido". OLE TÚ.</t>
  </si>
  <si>
    <t>el rompido</t>
  </si>
  <si>
    <t>carmen garrido garcia</t>
  </si>
  <si>
    <t>TROMPETA..7⏳</t>
  </si>
  <si>
    <t>Albert RIVERA 💥SACUDE COMO NUNCA💥 a Pedro SÁNCHEZ tras la DEBACLE socialista en Andalucía</t>
  </si>
  <si>
    <t>https://www.youtube.com/attribution_link?a=QZ-RGefVtYQ&amp;u=%2Fwatch%3Fv%3D2_U7d0t-jbs%26feature%3Dshare</t>
  </si>
  <si>
    <t xml:space="preserve">Barcelona. España </t>
  </si>
  <si>
    <t>Nunca lleves tus mejores pantalones cuando salgas a luchar por la paz y la libertad</t>
  </si>
  <si>
    <t>Llegar hasta San Telmo no será un camino de rosas y todos los partidos iniciaron ayer los primeros movimientos. Desde Ferraz están dispuestos a sacrificar a Susana Díaz para atraer al partido de Albert Rivera. En esta infografía se pueden ver las diferentes opciones...</t>
  </si>
  <si>
    <t>https://pbs.twimg.com/media/DtkNYFqXgAAZ12I.jpg</t>
  </si>
  <si>
    <t>gsüs ℗ ƃǝ</t>
  </si>
  <si>
    <t>El ibex-35 le dice a Albert Rivera que con Santi Abascal la puntita y nada más.</t>
  </si>
  <si>
    <t>40° 13′ 00″N 06° 52′ 00″W</t>
  </si>
  <si>
    <t>La vida da muchas vueltas y en la última te mueres 💜</t>
  </si>
  <si>
    <t>Mulán •</t>
  </si>
  <si>
    <t>Seguir a Vox en redes sociales =/= votar a Vox Osea sigo hasta a Albert Rivera y me parece una rata inmunda animal rastrero escoria de la vida adefesio mal hecho infrahumano espectro del infierno maldita sabandija cuánto daño me has hecho alimaña culebra ponzoñosa Se entiende</t>
  </si>
  <si>
    <t>Magnolia, gremio de Fairy Tail</t>
  </si>
  <si>
    <t>¿Me concedes este pogo? 💥 Toco instrumentos, estudio cosas y respiro mucho @la_bateria_de_intxixu</t>
  </si>
  <si>
    <t>Luis del Pino</t>
  </si>
  <si>
    <t>Hola, soy progre. Hasta hace tres días, decía que Cs son fascistas y que Albert es primo de Rivera. Ahora que Vox lo ha petado en Andalucía, digo que espero que Cs no se atreva a pactar con esos fascistas de Vox. Me rodean los fascistas mutantes, jajaja #cómomolo</t>
  </si>
  <si>
    <t>Director del programa de tertulia política Sin Complejos en http://esradio.libertaddigital.com/</t>
  </si>
  <si>
    <t>http://blogs.libertaddigital.com/enigmas-del-11-m/</t>
  </si>
  <si>
    <t>Daniel Domínguez</t>
  </si>
  <si>
    <t>Albert Rivera e Ciudadanos chaman “presidente okupa” a Pedro Sánchez por gobernar con 84 de 350 escanos (24%), pero ve normal que o seu partido goberne Andalucía con 21 de 109 (19%). Nova política contra o reparto de sillóns, disque</t>
  </si>
  <si>
    <t>galicia</t>
  </si>
  <si>
    <t>Xornalista. Coruñés que traballa para o sur e aspira a retirarse nunha praia</t>
  </si>
  <si>
    <t>Andress Mca</t>
  </si>
  <si>
    <t>La ideología ultra de Santiago Abascal no es tan diferente de la de Pablo Casado o Albert Rivera...</t>
  </si>
  <si>
    <t>Salou, España</t>
  </si>
  <si>
    <t>Qué COBARDÍA más grande tiene que tener Albert Rivera y toda su Directiva de Ciudadanos, de ni tan siquiera pensar en pactar con Psoe, los + Corruptos de Europa y q pactan con Golpistas y Bilduetarras. Luego Arrimadas, q no vaya diciendo nada en Cataluña de los Golpistas etc</t>
  </si>
  <si>
    <t>Vivo en Madrid (España)</t>
  </si>
  <si>
    <t>Católico, Español, me gusta la bandera Española y la Gloriosa historia de España. Y además, del Madrid. De todo ello me enorgullezco.</t>
  </si>
  <si>
    <t>https://twitter.com/Fransor528</t>
  </si>
  <si>
    <t>El KKK felicitando a Vox. Ya verás cuando se enteren Pablo Casado y albert Rivera. #CautivoxLaCafetera RT @DrDavidDuke: 🔴🗳️ VOX triumphs in Andalusia! 12 seats and the end of the socialist regime 🇪🇸 #EspañaViva makes it history and shows that change is possible. The Reconquista begins in the Andalusian lands and will be extended in the rest of Spain 📣 #AndalucíaPorEspaña</t>
  </si>
  <si>
    <t>Vicente Garcia Castro</t>
  </si>
  <si>
    <t>La "operación Borgen" que soñó Albert Rivera en 2016 y en la que ahora trabaja Juan Marín plantea algunas dificultades. @JorgeUfano  vía @eldiarioCultura</t>
  </si>
  <si>
    <t>https://www.eldiario.es/_32357ce2</t>
  </si>
  <si>
    <t>pic.twitter.com/nWTR8TTCoS</t>
  </si>
  <si>
    <t>Muras, España</t>
  </si>
  <si>
    <t>Ciudadano. Ciberactivista. Derechos Humanos. Justicia Social.</t>
  </si>
  <si>
    <t>https://www.facebook.com/lacorruptecapublica/?ref=settings</t>
  </si>
  <si>
    <t>Antonio Pérez Ortiz</t>
  </si>
  <si>
    <t>ALBERT RIVERA, TE ESTÁS EQUIVOCANDO ENORMEMENTE EN TU POLÍTICA CONTRA VOX, APOYANDO AL PSOE Y A LOS DEMÁS ENEMIGOS DE ESPAÑA.- DESDE YA ESTÁS PERDIENDO APOYOS Y VOTOS PARA LAS GENERALES POR TU COMPORTAMIENTO OMBLIGUISTA Y VELETA!!!!!</t>
  </si>
  <si>
    <t>07/03/1932.en Salta .-Argentina Hijo y descendiente españoles radicado Murcia 1990. Universitario Exe mpresario Productor, Comerciante y Exportador de Frutas</t>
  </si>
  <si>
    <t>Emmanuel Macron es el Albert Rivera francés. Llegó con la esperanza del cambio y lo que ha conseguido en un año y medio es echar a la calle a millones de franceses por su total servidumbre al IBEX. Por supuesto, esto no te lo explicarán mucho en las tertulias.</t>
  </si>
  <si>
    <t>¿Por qué Casado y Rivera son dos clones? La hilarante teoría de Marc Giró en TV3. Vía @En_Blau_es</t>
  </si>
  <si>
    <t>https://www.elnacional.cat/enblau/es/television/pablo-casado-albert-rivera-esta-passant-marc-giro-vestidos-iguales_331281_102.html</t>
  </si>
  <si>
    <t>¿Por qué Casado y Rivera son dos clones? La hilarante teoría de Marc Giró en TV3</t>
  </si>
  <si>
    <t>Pat</t>
  </si>
  <si>
    <t>Ciudadanos con Albert Rivera tendrá que mostrar su verdadera esencia y responsabilidad de Estado.</t>
  </si>
  <si>
    <t>https://m.eldiario.es/politica/Albert_Rivera-Juan_Marin-Cs-Andalucia-pactos-PP-PSOE-Vox-dilema_0_842366425.html</t>
  </si>
  <si>
    <t>Cuando se descubrió que la información era un negocio, la verdad dejó de ser importante. R. Kapuscinski</t>
  </si>
  <si>
    <t>El PP marca la Constitución como línea roja para negociar con los Vox y avisa a Albert Rivera de un futuro revés si actúa con «ombliguismo»</t>
  </si>
  <si>
    <t>http://bit.ly/2Qffsv5</t>
  </si>
  <si>
    <t>laverdad_es</t>
  </si>
  <si>
    <t>Edición digital del Diario La Verdad de Murcia, con información actualizada al minuto las 24 horas al día con noticias, imágenes y contenidos audiovisuales.</t>
  </si>
  <si>
    <t>http://www.laverdad.es</t>
  </si>
  <si>
    <t>Macron el referente de Albert Rivera, después de poner Francia patas arriba. Aplazará la subida a los carburantes. RT @CristoFeliz1: El Gobierno francés aplazará la subida de los impuestos a los carburantes</t>
  </si>
  <si>
    <t>https://twitter.com/CristoFeliz1/status/1069869699834372098
http://dlvr.it/Qsmv90</t>
  </si>
  <si>
    <t>https://pbs.twimg.com/media/Dtjw0mUVAAAvLBm.jpg</t>
  </si>
  <si>
    <t>Clavijo</t>
  </si>
  <si>
    <t>http://www.alertadigital.com/2018/12/03/la-insoportable-levedad-de-albert-rivera/#.XAY9uk7rngQ.twitter</t>
  </si>
  <si>
    <t>Investigador del Nuevo Orden Mundial: proyecto masónico-liberal para una Nueva Era. Cruzado Defensor de: la Iglesia Católica, la Patria y la Familia.</t>
  </si>
  <si>
    <t>http://pildorasantimasoneria.blogspot.com</t>
  </si>
  <si>
    <t>Albert Rivera en VI Escuela de Verano DENAES 2012 🔔 desencanto ciudadano por la política,</t>
  </si>
  <si>
    <t>https://youtu.be/V9YYQDqha-Q?uhs95=9158663038</t>
  </si>
  <si>
    <t>Juan F. Moreno</t>
  </si>
  <si>
    <t>Esta noticia, en la que se cuenta que el líder de ⁦@CiudadanosCs⁩ firma un manifiesto para salvar a Europa «de los Salvini y los Orbán», tiene ya unos meses, pero no ha perdido ni gota de actualidad.</t>
  </si>
  <si>
    <t>Madrid (Unión Europea)</t>
  </si>
  <si>
    <t>🔻 Amortizado. Nescit vox missa reverti.</t>
  </si>
  <si>
    <t>Raúl Ponce</t>
  </si>
  <si>
    <t>«Sólo Aznar puede dirigir estratégicamente el consorcio y ya está en ello. Pablo Casado le obedece. Albert Rivera le escucha. Santiago Abascal , jefe de filas de Vox, exmilitante del PP vasco, le admira» @EnricJuliana. Aznar nunca se fue.</t>
  </si>
  <si>
    <t>https://www.lavanguardia.com/politica/20181204/453328510461/elecciones-andaluzas-pp-cs-vox-pacto-susana-diaz.html</t>
  </si>
  <si>
    <t>Alcalá del Júcar, Albacete</t>
  </si>
  <si>
    <t>Estudiante de Ciencias Políticas. UCM.</t>
  </si>
  <si>
    <t>Çadiyo</t>
  </si>
  <si>
    <t>el nuevo Albert Rivera RT @ElHuffPost: 🔴 ÚLTIMA HORA: El presidente francés, Emmanuel Macron, cede a la presión de los "chalecos amarillos" y suspende la subida de la tasa de los carburantes</t>
  </si>
  <si>
    <t>https://twitter.com/ElHuffPost/status/1069859206952566784</t>
  </si>
  <si>
    <t>andalusian boy. Esto c'est finiii</t>
  </si>
  <si>
    <t>https://curiouscat.me/SvdPsyduck</t>
  </si>
  <si>
    <t>Pedro Vallín</t>
  </si>
  <si>
    <t>"Tres derechas y un único zar: José María Aznar. Pablo Casado, que fue su jefe de gabinete, le obedece. Albert Rivera le escucha. Santiago Abascal , jefe de filas de Vox, exmilitante del PP vasco, le admira". El Consorcio, by @EnricJuliana</t>
  </si>
  <si>
    <t>Periodista</t>
  </si>
  <si>
    <t>Alejandro</t>
  </si>
  <si>
    <t>Albert rivera y su partido de mercenarios del desierto.</t>
  </si>
  <si>
    <t>Looking for heaven || Cherry blossoms fall; In the wind casting shadows.</t>
  </si>
  <si>
    <t>𝔼.  𝕃.  𝕊  𝕆  ℝ  𝔻  𝕆  𝕄  𝕌  𝔻  𝕆</t>
  </si>
  <si>
    <t>Y resultaba que no era tristeza sino cansancio - Albert Rivera</t>
  </si>
  <si>
    <t>I'm just a little person. Stream: http://twitch.tv/elsordomudo Ko-fi: http://ko-fi.com/elsordomudo</t>
  </si>
  <si>
    <t>https://www.artstation.com/elsordomudo</t>
  </si>
  <si>
    <t>Hijo de Pastrana</t>
  </si>
  <si>
    <t>No quepo en mi asombro con @CiudadanosCs. Sus ansias de poder han llevado a Albert Rivera a perder la cabeza por completo. Quedan terceros y exigen gobernar. ¿Qué locura es esta? Si no se mueven de este berrinche les auguro un desastre sin paliativos en las próximas elecciones. RT @Albert_Rivera: 🎥 No me canso de dar las gracias a todos los andaluces que han apoyado un cambio histórico para su tierra. Nos decían que era imposible pero después de casi 40 años vamos a desalojar al PSOE de la Junta para liderar un nuevo gobierno con nuevas personas y nuevas políticas.</t>
  </si>
  <si>
    <t>Primer hijo de Pastrana.</t>
  </si>
  <si>
    <t>- DeiviTron -</t>
  </si>
  <si>
    <t>- A ver, pregunta de quesito: ¿De quién es la famosa frase "Estos son mis principios, si no le gustan tengo otros"? - De Pablo Casado y Albert Rivera</t>
  </si>
  <si>
    <t>Lost Woods</t>
  </si>
  <si>
    <t>Prototipo. Friki insondable de inocencia incurable. Tuiteo mis mierdas y fotos de mi gatita sin contemplaciones</t>
  </si>
  <si>
    <t>https://www.instagram.com/chufathepoet/</t>
  </si>
  <si>
    <t>Víctor Guinot</t>
  </si>
  <si>
    <t>Albert Rivera... ese líder cuyo partido ganó las elecciones en Catalunya y no presentó candidata a la presidencia pero lo quiere hacer en Andalucia, siendo 3º con 21 escaños de 109. Mientras, de regalo, le dice a Sánchez que no se puede gobernar con 84 escaños de 350. 🥴</t>
  </si>
  <si>
    <t>Barcelona, Espanya</t>
  </si>
  <si>
    <t>Castellonenc de 25 anys, ara vivint a Barcelona. IT i Business Intelligence Consultant. Data Scientist. Enginyer Industrial. Orellut i culé.</t>
  </si>
  <si>
    <t>Beatriz S</t>
  </si>
  <si>
    <t>Todos hemos visto a la mugre de Podemos llamar extrema derecha y su gente inundar las redes con fotos de Albert Rivera de farlopero, mientras decian q vivimos en un estado fascista. Ja ja. A ver; vivimos en el o llega ahora? #AndaluciaAntifascista</t>
  </si>
  <si>
    <t>Ciutadans Teià</t>
  </si>
  <si>
    <t>El 5 de Diciembre acto con Albert Rivera, Inés Arrimadas y Manuel Valls “40 años de Constitucionalismo” #Barcelona #Teià</t>
  </si>
  <si>
    <t>https://pbs.twimg.com/media/DtjhEuwWwAAnXco.jpg</t>
  </si>
  <si>
    <t>Teià, España</t>
  </si>
  <si>
    <t>Perfil oficial de Ciutadans a Teià</t>
  </si>
  <si>
    <t>http://teia.ciudadanos-cs.org</t>
  </si>
  <si>
    <t>Isabel Rábago</t>
  </si>
  <si>
    <t>Enorme #Herrera “Albert Rivera es un estratega regular y está a un paso de equivocarse. Está jugando. Dice que el PP es corrupto, ya veremos lo que son ellos cuando lleven 20 años. Se la juegan. Proponer al tercero para liderar el cambio habiendo ganado el PP, es una locura”Amén</t>
  </si>
  <si>
    <t>Me llamo Isabel Tengo nombre de Reina🇪🇸 Periodista Licenciada por la UPSA Ejerzo cuando me pagan Estudio Derecho UNED Secretaria de Comunicación #PPMadrid</t>
  </si>
  <si>
    <t>Mundiario.com</t>
  </si>
  <si>
    <t>Pablo Casado y Albert Rivera cambian los argumentos después del 2-D👇 ... vía @mundiario</t>
  </si>
  <si>
    <t>Desde España (Ñ/UE) y América</t>
  </si>
  <si>
    <t>Primer periódico global de análisis y opinión. Más de 500 autores de 25 países.</t>
  </si>
  <si>
    <t>http://mundiario.com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</si>
</sst>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vertical="center"/>
    </xf>
    <xf numFmtId="0" fontId="8" fillId="0" borderId="0" xfId="0" applyFont="1" applyAlignment="1">
      <alignment vertical="center"/>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unpobrecitohablador.tumblr.com/" TargetMode="External"/><Relationship Id="rId1827" Type="http://schemas.openxmlformats.org/officeDocument/2006/relationships/hyperlink" Target="https://www.ciudadanos-cs.org/" TargetMode="External"/><Relationship Id="rId21" Type="http://schemas.openxmlformats.org/officeDocument/2006/relationships/hyperlink" Target="http://pic.twitter.com/x2YQ2k8WrQ" TargetMode="External"/><Relationship Id="rId2089" Type="http://schemas.openxmlformats.org/officeDocument/2006/relationships/hyperlink" Target="https://www.20minutos.es/noticia/3509445/0/albert-rivera-pactos-andalucia-vox-sanchez/" TargetMode="External"/><Relationship Id="rId170" Type="http://schemas.openxmlformats.org/officeDocument/2006/relationships/hyperlink" Target="https://elpais.com/internacional/2018/12/07/actualidad/1544214890_882576.html" TargetMode="External"/><Relationship Id="rId2296" Type="http://schemas.openxmlformats.org/officeDocument/2006/relationships/hyperlink" Target="http://www.psoealmeria.com/" TargetMode="External"/><Relationship Id="rId268" Type="http://schemas.openxmlformats.org/officeDocument/2006/relationships/hyperlink" Target="https://www.youtube.com/channel/UCUGcEzxyMJwuOCBNnjwPDxg?view_as=subscriber" TargetMode="External"/><Relationship Id="rId475" Type="http://schemas.openxmlformats.org/officeDocument/2006/relationships/hyperlink" Target="http://www.ovb.es/" TargetMode="External"/><Relationship Id="rId682" Type="http://schemas.openxmlformats.org/officeDocument/2006/relationships/hyperlink" Target="http://www.franciscocastro.gal/" TargetMode="External"/><Relationship Id="rId2156" Type="http://schemas.openxmlformats.org/officeDocument/2006/relationships/hyperlink" Target="https://pbs.twimg.com/media/Dtpg1nTWoAArvLP.jpg" TargetMode="External"/><Relationship Id="rId2363" Type="http://schemas.openxmlformats.org/officeDocument/2006/relationships/hyperlink" Target="https://twitter.com/AstroVulcanTeor/status/969563933085495301?ref_src=twcamp%5Ecopy%7Ctwsrc%5Eandroi" TargetMode="External"/><Relationship Id="rId2570" Type="http://schemas.openxmlformats.org/officeDocument/2006/relationships/hyperlink" Target="https://verne.elpais.com/verne/2018/12/04/articulo/1543918729_325783.html" TargetMode="External"/><Relationship Id="rId128" Type="http://schemas.openxmlformats.org/officeDocument/2006/relationships/hyperlink" Target="https://twitter.com/albert_rivera/status/1070689250792955905" TargetMode="External"/><Relationship Id="rId335" Type="http://schemas.openxmlformats.org/officeDocument/2006/relationships/hyperlink" Target="https://twitter.com/RRYrevolucion/status/1071043004310401024" TargetMode="External"/><Relationship Id="rId542" Type="http://schemas.openxmlformats.org/officeDocument/2006/relationships/hyperlink" Target="https://www.larazon.es/espana/cuidar-nuestra-constitucion-por-albert-rivera-BP20854162" TargetMode="External"/><Relationship Id="rId987" Type="http://schemas.openxmlformats.org/officeDocument/2006/relationships/hyperlink" Target="http://asamblea-madrid.ciudadanos-cs.org/" TargetMode="External"/><Relationship Id="rId1172" Type="http://schemas.openxmlformats.org/officeDocument/2006/relationships/hyperlink" Target="http://heral.do/hsqdm1" TargetMode="External"/><Relationship Id="rId2016" Type="http://schemas.openxmlformats.org/officeDocument/2006/relationships/hyperlink" Target="http://www.ciudadanos-cs.org/" TargetMode="External"/><Relationship Id="rId2223" Type="http://schemas.openxmlformats.org/officeDocument/2006/relationships/hyperlink" Target="http://www.elnacional.cat/es/" TargetMode="External"/><Relationship Id="rId2430" Type="http://schemas.openxmlformats.org/officeDocument/2006/relationships/hyperlink" Target="https://twitter.com/FSerranoCastro/status/1070058259787198466" TargetMode="External"/><Relationship Id="rId2668" Type="http://schemas.openxmlformats.org/officeDocument/2006/relationships/hyperlink" Target="https://www.youtube.com/watch?v=IZfcG0rPxrs" TargetMode="External"/><Relationship Id="rId402" Type="http://schemas.openxmlformats.org/officeDocument/2006/relationships/hyperlink" Target="https://twitter.com/vox_es/status/1071011359108816897" TargetMode="External"/><Relationship Id="rId847" Type="http://schemas.openxmlformats.org/officeDocument/2006/relationships/hyperlink" Target="http://ow.ly/Nmyz30mT9h8" TargetMode="External"/><Relationship Id="rId1032" Type="http://schemas.openxmlformats.org/officeDocument/2006/relationships/hyperlink" Target="http://pic.twitter.com/o8aDyzKnDf" TargetMode="External"/><Relationship Id="rId1477" Type="http://schemas.openxmlformats.org/officeDocument/2006/relationships/hyperlink" Target="https://twitter.com/jordi_canyas/status/1070412489207238657" TargetMode="External"/><Relationship Id="rId1684" Type="http://schemas.openxmlformats.org/officeDocument/2006/relationships/hyperlink" Target="http://pic.twitter.com/7YoAgcTCjZ" TargetMode="External"/><Relationship Id="rId1891" Type="http://schemas.openxmlformats.org/officeDocument/2006/relationships/hyperlink" Target="https://pbs.twimg.com/media/Dtqcq19XgAABBK2.jpg" TargetMode="External"/><Relationship Id="rId2528" Type="http://schemas.openxmlformats.org/officeDocument/2006/relationships/hyperlink" Target="https://twitter.com/MagdalenaProust/status/1069602366293491714" TargetMode="External"/><Relationship Id="rId2735" Type="http://schemas.openxmlformats.org/officeDocument/2006/relationships/hyperlink" Target="http://bit.ly/2Qffsv5" TargetMode="External"/><Relationship Id="rId707" Type="http://schemas.openxmlformats.org/officeDocument/2006/relationships/hyperlink" Target="https://elpais.com/politica/2018/11/28/actualidad/1543422865_729627.html?id_externo_rsoc=TW_CC" TargetMode="External"/><Relationship Id="rId914" Type="http://schemas.openxmlformats.org/officeDocument/2006/relationships/hyperlink" Target="https://www.europapress.es/nacional/noticia-albert-rivera-dice-izquierda-derecha-no-hay-enemigos-compatriotas-20181206113859.html" TargetMode="External"/><Relationship Id="rId1337" Type="http://schemas.openxmlformats.org/officeDocument/2006/relationships/hyperlink" Target="https://twitter.com/cai_nyabel/status/1070047800359088128" TargetMode="External"/><Relationship Id="rId1544" Type="http://schemas.openxmlformats.org/officeDocument/2006/relationships/hyperlink" Target="http://historiaextremaduracf.blogspot.com/2017/03/presentacion.html?m=1" TargetMode="External"/><Relationship Id="rId1751" Type="http://schemas.openxmlformats.org/officeDocument/2006/relationships/hyperlink" Target="https://twitter.com/ehbilducongreso/status/1070286472706703360" TargetMode="External"/><Relationship Id="rId1989" Type="http://schemas.openxmlformats.org/officeDocument/2006/relationships/hyperlink" Target="https://okdiario.com/espana/andalucia/2018/12/05/rivera-dispuesto-pacto-pp-sin-descartar-vox-pero-marin-presidente-3430883" TargetMode="External"/><Relationship Id="rId43" Type="http://schemas.openxmlformats.org/officeDocument/2006/relationships/hyperlink" Target="http://mediterraneo.diario16.com/la-mala-leche-albert-rivera-sanchismo/" TargetMode="External"/><Relationship Id="rId1404" Type="http://schemas.openxmlformats.org/officeDocument/2006/relationships/hyperlink" Target="https://twitter.com/adanesmit/status/1070407372307423232" TargetMode="External"/><Relationship Id="rId1611" Type="http://schemas.openxmlformats.org/officeDocument/2006/relationships/hyperlink" Target="https://twitter.com/Albert_Rivera/status/1070318510604210176" TargetMode="External"/><Relationship Id="rId1849" Type="http://schemas.openxmlformats.org/officeDocument/2006/relationships/hyperlink" Target="http://eclipssi.com/" TargetMode="External"/><Relationship Id="rId192" Type="http://schemas.openxmlformats.org/officeDocument/2006/relationships/hyperlink" Target="http://www.ief.es/Instituto/organizacion_administrativa.vbhtml" TargetMode="External"/><Relationship Id="rId1709" Type="http://schemas.openxmlformats.org/officeDocument/2006/relationships/hyperlink" Target="https://pbs.twimg.com/media/DtrBeULWsAEXvYy.jpg" TargetMode="External"/><Relationship Id="rId1916" Type="http://schemas.openxmlformats.org/officeDocument/2006/relationships/hyperlink" Target="http://www.ciudadanos-cs.org/" TargetMode="External"/><Relationship Id="rId497" Type="http://schemas.openxmlformats.org/officeDocument/2006/relationships/hyperlink" Target="https://twitter.com/_ju1_/status/1070822535686696965" TargetMode="External"/><Relationship Id="rId2080" Type="http://schemas.openxmlformats.org/officeDocument/2006/relationships/hyperlink" Target="http://jlramirez3633.blogspot.com.es/" TargetMode="External"/><Relationship Id="rId2178" Type="http://schemas.openxmlformats.org/officeDocument/2006/relationships/hyperlink" Target="https://pbs.twimg.com/media/DtfSG62WkAAlvI5.jpg" TargetMode="External"/><Relationship Id="rId2385" Type="http://schemas.openxmlformats.org/officeDocument/2006/relationships/hyperlink" Target="https://twitter.com/maribalius/status/1070085785859309570" TargetMode="External"/><Relationship Id="rId357" Type="http://schemas.openxmlformats.org/officeDocument/2006/relationships/hyperlink" Target="https://www.elmundo.es/espana/2018/12/07/5c0a86be21efa0d45b8b45c9.html" TargetMode="External"/><Relationship Id="rId1194" Type="http://schemas.openxmlformats.org/officeDocument/2006/relationships/hyperlink" Target="http://www.noticierouniversal.com/" TargetMode="External"/><Relationship Id="rId2038" Type="http://schemas.openxmlformats.org/officeDocument/2006/relationships/hyperlink" Target="https://www.20minutos.es/noticia/3508559/0/albert-rivera-defender-nuestra-constitucion/?utm_source=twitter.com&amp;utm_medium=socialshare&amp;utm_campaign=mobile_web" TargetMode="External"/><Relationship Id="rId2592" Type="http://schemas.openxmlformats.org/officeDocument/2006/relationships/hyperlink" Target="http://managerfc.com/" TargetMode="External"/><Relationship Id="rId217" Type="http://schemas.openxmlformats.org/officeDocument/2006/relationships/hyperlink" Target="http://www.contactohoy.com.mx/" TargetMode="External"/><Relationship Id="rId564" Type="http://schemas.openxmlformats.org/officeDocument/2006/relationships/hyperlink" Target="http://www.rtve.es/a/4876500" TargetMode="External"/><Relationship Id="rId771" Type="http://schemas.openxmlformats.org/officeDocument/2006/relationships/hyperlink" Target="http://pic.twitter.com/fukcvpRiqB" TargetMode="External"/><Relationship Id="rId869" Type="http://schemas.openxmlformats.org/officeDocument/2006/relationships/hyperlink" Target="https://www.elespanol.com/espana/politica/20181205/rivera-distancias-vox-planteamos-pp-psoe-no/358464700_0.html.Tengo" TargetMode="External"/><Relationship Id="rId1499" Type="http://schemas.openxmlformats.org/officeDocument/2006/relationships/hyperlink" Target="http://atres.red/fevon4" TargetMode="External"/><Relationship Id="rId2245" Type="http://schemas.openxmlformats.org/officeDocument/2006/relationships/hyperlink" Target="http://dlvr.it/QsscTq" TargetMode="External"/><Relationship Id="rId2452" Type="http://schemas.openxmlformats.org/officeDocument/2006/relationships/hyperlink" Target="https://pbs.twimg.com/media/DtmRP07W4AIpIRQ.jpg" TargetMode="External"/><Relationship Id="rId424" Type="http://schemas.openxmlformats.org/officeDocument/2006/relationships/hyperlink" Target="http://www.citizengo.org/hazteoir/pc/167099-al-psoe-ni-agua-sr-rivera?tc=tw&amp;tcid=52567133" TargetMode="External"/><Relationship Id="rId631" Type="http://schemas.openxmlformats.org/officeDocument/2006/relationships/hyperlink" Target="http://pic.twitter.com/Uhnb5aYgBQ" TargetMode="External"/><Relationship Id="rId729" Type="http://schemas.openxmlformats.org/officeDocument/2006/relationships/hyperlink" Target="https://www.youtube.com/user/LaLogiaMierdosa" TargetMode="External"/><Relationship Id="rId1054" Type="http://schemas.openxmlformats.org/officeDocument/2006/relationships/hyperlink" Target="https://www.ciudadanos-cs.org/" TargetMode="External"/><Relationship Id="rId1261" Type="http://schemas.openxmlformats.org/officeDocument/2006/relationships/hyperlink" Target="https://goo.gl/UhJ5p3?raf51=5684458807" TargetMode="External"/><Relationship Id="rId1359" Type="http://schemas.openxmlformats.org/officeDocument/2006/relationships/hyperlink" Target="https://pbs.twimg.com/media/Dtr9gGuWsAIqr0P.jpg" TargetMode="External"/><Relationship Id="rId2105" Type="http://schemas.openxmlformats.org/officeDocument/2006/relationships/hyperlink" Target="https://www.elespanol.com/espana/politica/20181204/podemos-no-permitir-cs-gobierne-andalucia-vox/358214715_0.amp.html?__twitter_impression=true" TargetMode="External"/><Relationship Id="rId2312" Type="http://schemas.openxmlformats.org/officeDocument/2006/relationships/hyperlink" Target="https://www.elmundo.es/pais-vasco/2018/12/05/5c06ee5f21efa089208b4777.html" TargetMode="External"/><Relationship Id="rId2757" Type="http://schemas.openxmlformats.org/officeDocument/2006/relationships/hyperlink" Target="https://curiouscat.me/SvdPsyduck" TargetMode="External"/><Relationship Id="rId936" Type="http://schemas.openxmlformats.org/officeDocument/2006/relationships/hyperlink" Target="http://ladoucedecheance.wordpress.com/" TargetMode="External"/><Relationship Id="rId1121" Type="http://schemas.openxmlformats.org/officeDocument/2006/relationships/hyperlink" Target="https://pbs.twimg.com/media/DtubIIwXQAABYb8.jpg" TargetMode="External"/><Relationship Id="rId1219" Type="http://schemas.openxmlformats.org/officeDocument/2006/relationships/hyperlink" Target="https://www.youtube.com/channel/UCY60GBj-H8SmayRG1UgDVWw" TargetMode="External"/><Relationship Id="rId1566" Type="http://schemas.openxmlformats.org/officeDocument/2006/relationships/hyperlink" Target="https://twitter.com/ciudadanoscs/status/1070373724866707457" TargetMode="External"/><Relationship Id="rId1773" Type="http://schemas.openxmlformats.org/officeDocument/2006/relationships/hyperlink" Target="http://shr.gs/uNrmAjP" TargetMode="External"/><Relationship Id="rId1980" Type="http://schemas.openxmlformats.org/officeDocument/2006/relationships/hyperlink" Target="https://www.facebook.com/CiudadanosLaPuebladelRio/videos/505898813254365/" TargetMode="External"/><Relationship Id="rId2617" Type="http://schemas.openxmlformats.org/officeDocument/2006/relationships/hyperlink" Target="https://pbs.twimg.com/media/Dtkx8a7XcAIG-dJ.jpg" TargetMode="External"/><Relationship Id="rId65" Type="http://schemas.openxmlformats.org/officeDocument/2006/relationships/hyperlink" Target="http://www.cuadrosdeunaexposicion.es/" TargetMode="External"/><Relationship Id="rId1426" Type="http://schemas.openxmlformats.org/officeDocument/2006/relationships/hyperlink" Target="https://okdiario.com/espana/madrid/2018/12/05/cs-pacta-psoe-podemos-librar-sanchez-explicar-tesis-fake-asamblea-madrid-3432942" TargetMode="External"/><Relationship Id="rId1633" Type="http://schemas.openxmlformats.org/officeDocument/2006/relationships/hyperlink" Target="http://pic.twitter.com/l3zmlA11JK" TargetMode="External"/><Relationship Id="rId1840" Type="http://schemas.openxmlformats.org/officeDocument/2006/relationships/hyperlink" Target="https://pbs.twimg.com/media/DtqpRbGWoAAO-LR.jpg" TargetMode="External"/><Relationship Id="rId1700" Type="http://schemas.openxmlformats.org/officeDocument/2006/relationships/hyperlink" Target="https://www.pscp.tv/w/btgN4TFQbUtxZ1BBWkpWRW98MWVhS2JPeWtkbWRHWEhaqx6ofb96lMsRY0fG88ByEM06byGdMt659zYQD5X6" TargetMode="External"/><Relationship Id="rId1938" Type="http://schemas.openxmlformats.org/officeDocument/2006/relationships/hyperlink" Target="http://www.canalsur.es/" TargetMode="External"/><Relationship Id="rId281" Type="http://schemas.openxmlformats.org/officeDocument/2006/relationships/hyperlink" Target="http://pic.twitter.com/IIbI0PDLPr" TargetMode="External"/><Relationship Id="rId141" Type="http://schemas.openxmlformats.org/officeDocument/2006/relationships/hyperlink" Target="https://www.instagram.com/fcoliber/" TargetMode="External"/><Relationship Id="rId379" Type="http://schemas.openxmlformats.org/officeDocument/2006/relationships/hyperlink" Target="https://www.elplural.com/politica/lo-nunca-contado-de-la-intima-amistad-entre-albert-rivera-y-santiago-abascal_207666102" TargetMode="External"/><Relationship Id="rId586" Type="http://schemas.openxmlformats.org/officeDocument/2006/relationships/hyperlink" Target="https://vimeo.com/ivanadriancalderon" TargetMode="External"/><Relationship Id="rId793" Type="http://schemas.openxmlformats.org/officeDocument/2006/relationships/hyperlink" Target="https://www.youtube.com/watch?v=kkG_dWoUpyc" TargetMode="External"/><Relationship Id="rId2267" Type="http://schemas.openxmlformats.org/officeDocument/2006/relationships/hyperlink" Target="http://shr.gs/uJHKBXN" TargetMode="External"/><Relationship Id="rId2474" Type="http://schemas.openxmlformats.org/officeDocument/2006/relationships/hyperlink" Target="https://pbs.twimg.com/media/DtmIdnaXQAIHEZC.jpg" TargetMode="External"/><Relationship Id="rId2681" Type="http://schemas.openxmlformats.org/officeDocument/2006/relationships/hyperlink" Target="https://www.elimparcial.es/noticia/196298/opinion/impedira-albert-rivera-el-cambio-de-regimen.html" TargetMode="External"/><Relationship Id="rId7" Type="http://schemas.openxmlformats.org/officeDocument/2006/relationships/hyperlink" Target="https://twitter.com/OliverMontcada/status/1071419786163306496" TargetMode="External"/><Relationship Id="rId239" Type="http://schemas.openxmlformats.org/officeDocument/2006/relationships/hyperlink" Target="http://www.ciudadanos-cs.org/" TargetMode="External"/><Relationship Id="rId446" Type="http://schemas.openxmlformats.org/officeDocument/2006/relationships/hyperlink" Target="https://pbs.twimg.com/media/DtzytsBW4AIlX0-.jpg" TargetMode="External"/><Relationship Id="rId653" Type="http://schemas.openxmlformats.org/officeDocument/2006/relationships/hyperlink" Target="http://paharganda.com/" TargetMode="External"/><Relationship Id="rId1076" Type="http://schemas.openxmlformats.org/officeDocument/2006/relationships/hyperlink" Target="http://pic.twitter.com/cKwVqIor6i" TargetMode="External"/><Relationship Id="rId1283" Type="http://schemas.openxmlformats.org/officeDocument/2006/relationships/hyperlink" Target="http://youtu.be/gOQySy_ne5w?a" TargetMode="External"/><Relationship Id="rId1490" Type="http://schemas.openxmlformats.org/officeDocument/2006/relationships/hyperlink" Target="http://www.lasexta.com/noticias/" TargetMode="External"/><Relationship Id="rId2127" Type="http://schemas.openxmlformats.org/officeDocument/2006/relationships/hyperlink" Target="https://www.20minutos.es/noticia/3508559/0/albert-rivera-defender-nuestra-constitucion/?utm_source=twitter.com&amp;utm_medium=socialshare&amp;utm_campaign=mobile_web" TargetMode="External"/><Relationship Id="rId2334" Type="http://schemas.openxmlformats.org/officeDocument/2006/relationships/hyperlink" Target="http://enrique2311.wordpress.com/" TargetMode="External"/><Relationship Id="rId2779" Type="http://schemas.openxmlformats.org/officeDocument/2006/relationships/hyperlink" Target="https://www.diaribalear.es/ciudadanos-debe-darle-la-puntilla-al-psoe-en-andalucia-y-hacer-presidente-a-juanma-moreno/" TargetMode="External"/><Relationship Id="rId306" Type="http://schemas.openxmlformats.org/officeDocument/2006/relationships/hyperlink" Target="https://www.elespanol.com/espana/politica/20181207/tribunal-cuentas-cs-no-infraccion-alguna-sancionable/358964793_0.html" TargetMode="External"/><Relationship Id="rId860" Type="http://schemas.openxmlformats.org/officeDocument/2006/relationships/hyperlink" Target="https://pbs.twimg.com/media/Dtvbi0KX4AYEJXE.jpg" TargetMode="External"/><Relationship Id="rId958" Type="http://schemas.openxmlformats.org/officeDocument/2006/relationships/hyperlink" Target="https://pbs.twimg.com/media/Dtu8jChX4AAF_lE.jpg" TargetMode="External"/><Relationship Id="rId1143" Type="http://schemas.openxmlformats.org/officeDocument/2006/relationships/hyperlink" Target="https://twitter.com/JuanMarin_Cs/status/1070326961640235008" TargetMode="External"/><Relationship Id="rId1588" Type="http://schemas.openxmlformats.org/officeDocument/2006/relationships/hyperlink" Target="https://pbs.twimg.com/media/DtrTviSU4AAYWxb.jpg" TargetMode="External"/><Relationship Id="rId1795" Type="http://schemas.openxmlformats.org/officeDocument/2006/relationships/hyperlink" Target="https://www.europapress.es/nacional/noticia-pablo-iglesias-albert-rivera-joan-tarda-ana-oramas-candidatos-mejor-orador-parlamento-20181205181052.html" TargetMode="External"/><Relationship Id="rId2541" Type="http://schemas.openxmlformats.org/officeDocument/2006/relationships/hyperlink" Target="https://pbs.twimg.com/media/DtlaMFaWoAAhPP1.jpg" TargetMode="External"/><Relationship Id="rId2639" Type="http://schemas.openxmlformats.org/officeDocument/2006/relationships/hyperlink" Target="http://bit.ly/2FY0BRd" TargetMode="External"/><Relationship Id="rId87" Type="http://schemas.openxmlformats.org/officeDocument/2006/relationships/hyperlink" Target="https://twitter.com/arygarccia/status/1070767581395607552" TargetMode="External"/><Relationship Id="rId513" Type="http://schemas.openxmlformats.org/officeDocument/2006/relationships/hyperlink" Target="https://twitter.com/JosPastr/status/1069693587493928965" TargetMode="External"/><Relationship Id="rId720" Type="http://schemas.openxmlformats.org/officeDocument/2006/relationships/hyperlink" Target="http://instagram.com/sergiomartin_95/" TargetMode="External"/><Relationship Id="rId818" Type="http://schemas.openxmlformats.org/officeDocument/2006/relationships/hyperlink" Target="https://www.mundiario.com/seccion/galicia" TargetMode="External"/><Relationship Id="rId1350" Type="http://schemas.openxmlformats.org/officeDocument/2006/relationships/hyperlink" Target="https://www.instagram.com/cervantesfaqs/" TargetMode="External"/><Relationship Id="rId1448" Type="http://schemas.openxmlformats.org/officeDocument/2006/relationships/hyperlink" Target="http://pic.twitter.com/hNGxlsIz8P" TargetMode="External"/><Relationship Id="rId1655" Type="http://schemas.openxmlformats.org/officeDocument/2006/relationships/hyperlink" Target="https://pbs.twimg.com/media/DtpAth0WwAElVpw.jpg" TargetMode="External"/><Relationship Id="rId2401" Type="http://schemas.openxmlformats.org/officeDocument/2006/relationships/hyperlink" Target="http://ver.20m.es/0cknh6" TargetMode="External"/><Relationship Id="rId2706" Type="http://schemas.openxmlformats.org/officeDocument/2006/relationships/hyperlink" Target="http://sabadell.ciudadanos-cs.org/" TargetMode="External"/><Relationship Id="rId1003" Type="http://schemas.openxmlformats.org/officeDocument/2006/relationships/hyperlink" Target="https://pbs.twimg.com/media/Dtuy_Q0WkAA9kHl.jpg" TargetMode="External"/><Relationship Id="rId1210" Type="http://schemas.openxmlformats.org/officeDocument/2006/relationships/hyperlink" Target="https://t.me/geoestrategia1" TargetMode="External"/><Relationship Id="rId1308" Type="http://schemas.openxmlformats.org/officeDocument/2006/relationships/hyperlink" Target="https://okdiario.com/espana/madrid/2018/12/05/cs-pacta-psoe-podemos-librar-sanchez-explicar-tesis-fake-asamblea-madrid-3432942/amp?__twitter_impression=true" TargetMode="External"/><Relationship Id="rId1862" Type="http://schemas.openxmlformats.org/officeDocument/2006/relationships/hyperlink" Target="http://a.msn.com/01/es-es/BBQwg6d?ocid=st" TargetMode="External"/><Relationship Id="rId1515" Type="http://schemas.openxmlformats.org/officeDocument/2006/relationships/hyperlink" Target="http://www.asigc-profesional.org/" TargetMode="External"/><Relationship Id="rId1722" Type="http://schemas.openxmlformats.org/officeDocument/2006/relationships/hyperlink" Target="https://twitter.com/CiudadanosCs/status/1070307427344703489" TargetMode="External"/><Relationship Id="rId14" Type="http://schemas.openxmlformats.org/officeDocument/2006/relationships/hyperlink" Target="https://blogs.elconfidencial.com/espana/notebook/2018-12-08/vox-albert-rivera-pactos-andalucia-centro-europeista_1692818/" TargetMode="External"/><Relationship Id="rId2191" Type="http://schemas.openxmlformats.org/officeDocument/2006/relationships/hyperlink" Target="http://www.ramblalibre.com/" TargetMode="External"/><Relationship Id="rId163" Type="http://schemas.openxmlformats.org/officeDocument/2006/relationships/hyperlink" Target="https://okdiario.com/espana/cataluna/2018/12/08/sanchez-ofrece-separatistas-reconocer-cataluna-como-nacion-cambio-del-si-presupuestos-3439890" TargetMode="External"/><Relationship Id="rId370" Type="http://schemas.openxmlformats.org/officeDocument/2006/relationships/hyperlink" Target="http://www.citizengo.org/hazteoir/pc/167099-al-psoe-ni-agua-sr-rivera?tc=tw&amp;tcid=52569925" TargetMode="External"/><Relationship Id="rId2051" Type="http://schemas.openxmlformats.org/officeDocument/2006/relationships/hyperlink" Target="https://okdiario.com/espana/andalucia/2018/12/05/rivera-dispuesto-pacto-pp-sin-descartar-vox-pero-marin-presidente-3430883?utm_campaign=ok&amp;utm_medium=Social&amp;utm_source=Twitter" TargetMode="External"/><Relationship Id="rId2289" Type="http://schemas.openxmlformats.org/officeDocument/2006/relationships/hyperlink" Target="https://twitter.com/FSerranoCastro/status/729684736965267456" TargetMode="External"/><Relationship Id="rId2496" Type="http://schemas.openxmlformats.org/officeDocument/2006/relationships/hyperlink" Target="https://www.lasexta.com/noticias/nacional/elecciones-andalucia/albert-rivera-no-descarta-pactar-con-vox-en-andalucia-nos-sentaremos-con-los-partidos-constitucionalistas-para-sumar-una-mayoria-video_201811305c0128300cf21af43013edd3.html" TargetMode="External"/><Relationship Id="rId230" Type="http://schemas.openxmlformats.org/officeDocument/2006/relationships/hyperlink" Target="https://www.larazon.es/espana/cuidar-nuestra-constitucion-por-albert-rivera-BP20854162" TargetMode="External"/><Relationship Id="rId468" Type="http://schemas.openxmlformats.org/officeDocument/2006/relationships/hyperlink" Target="https://www.libertaddigital.com/ciencia-tecnologia/ciencia/2018-12-05/la-rioja-permitira-a-funcionarios-acceder-libremente-a-las-casas-para-comprobar-el-estado-de-las-mascotas-1276629389/" TargetMode="External"/><Relationship Id="rId675" Type="http://schemas.openxmlformats.org/officeDocument/2006/relationships/hyperlink" Target="https://www.laopinion.es/nacional/2018/12/05/rivera-afirma-mejor-reforma-constitucion/934450.html" TargetMode="External"/><Relationship Id="rId882" Type="http://schemas.openxmlformats.org/officeDocument/2006/relationships/hyperlink" Target="http://youtu.be/Zn7EH6at6oY?a" TargetMode="External"/><Relationship Id="rId1098" Type="http://schemas.openxmlformats.org/officeDocument/2006/relationships/hyperlink" Target="https://pbs.twimg.com/media/DtudGfUU8AAlyyV.jpg" TargetMode="External"/><Relationship Id="rId2149" Type="http://schemas.openxmlformats.org/officeDocument/2006/relationships/hyperlink" Target="http://generalmanki.blogspot.com.es/" TargetMode="External"/><Relationship Id="rId2356" Type="http://schemas.openxmlformats.org/officeDocument/2006/relationships/hyperlink" Target="https://pbs.twimg.com/media/DtoNEg7WwAEaHpO.jpg" TargetMode="External"/><Relationship Id="rId2563" Type="http://schemas.openxmlformats.org/officeDocument/2006/relationships/hyperlink" Target="https://pbs.twimg.com/media/DtlMprcW4AMJSWB.jpg" TargetMode="External"/><Relationship Id="rId2770" Type="http://schemas.openxmlformats.org/officeDocument/2006/relationships/hyperlink" Target="https://pbs.twimg.com/media/DtjoLutW4AA-E2N.jpg" TargetMode="External"/><Relationship Id="rId328" Type="http://schemas.openxmlformats.org/officeDocument/2006/relationships/hyperlink" Target="https://elpais.com/politica/2018/11/28/actualidad/1543422865_729627.html" TargetMode="External"/><Relationship Id="rId535" Type="http://schemas.openxmlformats.org/officeDocument/2006/relationships/hyperlink" Target="https://www.diaribalear.es/" TargetMode="External"/><Relationship Id="rId742" Type="http://schemas.openxmlformats.org/officeDocument/2006/relationships/hyperlink" Target="https://www.ciudadanos-cs.org/" TargetMode="External"/><Relationship Id="rId1165" Type="http://schemas.openxmlformats.org/officeDocument/2006/relationships/hyperlink" Target="https://pbs.twimg.com/media/DtuOcQUW0AI-0xA.jpg" TargetMode="External"/><Relationship Id="rId1372" Type="http://schemas.openxmlformats.org/officeDocument/2006/relationships/hyperlink" Target="https://www.ciudadanos-cs.org/" TargetMode="External"/><Relationship Id="rId2009" Type="http://schemas.openxmlformats.org/officeDocument/2006/relationships/hyperlink" Target="http://www.movimiento15m.org/" TargetMode="External"/><Relationship Id="rId2216" Type="http://schemas.openxmlformats.org/officeDocument/2006/relationships/hyperlink" Target="http://www.facebook.com/sotocerrato" TargetMode="External"/><Relationship Id="rId2423" Type="http://schemas.openxmlformats.org/officeDocument/2006/relationships/hyperlink" Target="https://www.elconfidencial.com/espana/2018-12-04/directo-pedro-sanchez-entrevista_1686582/?utm_source=twitter&amp;utm_medium=social&amp;utm_campaign=BotoneraWeb" TargetMode="External"/><Relationship Id="rId2630" Type="http://schemas.openxmlformats.org/officeDocument/2006/relationships/hyperlink" Target="https://m.eldiario.es/rastreador/Klux-Klan-Vox-Reconquista-Andalucia_6_842775724.html" TargetMode="External"/><Relationship Id="rId602" Type="http://schemas.openxmlformats.org/officeDocument/2006/relationships/hyperlink" Target="https://es.rt.com/3qtp" TargetMode="External"/><Relationship Id="rId1025" Type="http://schemas.openxmlformats.org/officeDocument/2006/relationships/hyperlink" Target="https://www.20minutos.es/noticia/3508559/0/albert-rivera-defender-nuestra-constitucion/?utm_source=twitter.com&amp;utm_medium=socialshare&amp;utm_campaign=desktop" TargetMode="External"/><Relationship Id="rId1232" Type="http://schemas.openxmlformats.org/officeDocument/2006/relationships/hyperlink" Target="https://www.linkedin.com/in/luisserranobarrie/" TargetMode="External"/><Relationship Id="rId1677" Type="http://schemas.openxmlformats.org/officeDocument/2006/relationships/hyperlink" Target="http://instagram.com/pacoarizasystem" TargetMode="External"/><Relationship Id="rId1884" Type="http://schemas.openxmlformats.org/officeDocument/2006/relationships/hyperlink" Target="http://www.instagram.com/UnAlemanRager/" TargetMode="External"/><Relationship Id="rId2728" Type="http://schemas.openxmlformats.org/officeDocument/2006/relationships/hyperlink" Target="https://pbs.twimg.com/media/Dtj792HXcAAraE-.jpg" TargetMode="External"/><Relationship Id="rId907" Type="http://schemas.openxmlformats.org/officeDocument/2006/relationships/hyperlink" Target="http://www.ciudadanos-cs.org/" TargetMode="External"/><Relationship Id="rId1537" Type="http://schemas.openxmlformats.org/officeDocument/2006/relationships/hyperlink" Target="http://unpobrecitohablador.tumblr.com/" TargetMode="External"/><Relationship Id="rId1744" Type="http://schemas.openxmlformats.org/officeDocument/2006/relationships/hyperlink" Target="https://pbs.twimg.com/media/Dtq75kVXcAAiwlX.jpg" TargetMode="External"/><Relationship Id="rId1951" Type="http://schemas.openxmlformats.org/officeDocument/2006/relationships/hyperlink" Target="http://www.lacerca.com/" TargetMode="External"/><Relationship Id="rId36" Type="http://schemas.openxmlformats.org/officeDocument/2006/relationships/hyperlink" Target="http://www.nach-schlag.com/" TargetMode="External"/><Relationship Id="rId1604" Type="http://schemas.openxmlformats.org/officeDocument/2006/relationships/hyperlink" Target="http://page.is/prudencio-exojo" TargetMode="External"/><Relationship Id="rId185" Type="http://schemas.openxmlformats.org/officeDocument/2006/relationships/hyperlink" Target="http://pic.twitter.com/Uhnb5aYgBQ" TargetMode="External"/><Relationship Id="rId1811" Type="http://schemas.openxmlformats.org/officeDocument/2006/relationships/hyperlink" Target="https://twitter.com/sotosinmas/status/1070350669733863424" TargetMode="External"/><Relationship Id="rId1909" Type="http://schemas.openxmlformats.org/officeDocument/2006/relationships/hyperlink" Target="https://www.lavanguardia.com/politica/20181205/453377887754/ciudadanos-albert-rivera-prioriza-pacto-pp-andalucia-irresponsable-descartar-vox-santiago-abascal.html?utm_campaign=botones_sociales_app&amp;utm_source=twitter&amp;utm_medium=social" TargetMode="External"/><Relationship Id="rId392" Type="http://schemas.openxmlformats.org/officeDocument/2006/relationships/hyperlink" Target="https://twitter.com/VictorGonz54/status/1070783435566911488" TargetMode="External"/><Relationship Id="rId697" Type="http://schemas.openxmlformats.org/officeDocument/2006/relationships/hyperlink" Target="http://pic.twitter.com/M7EM0N7zIh" TargetMode="External"/><Relationship Id="rId2073" Type="http://schemas.openxmlformats.org/officeDocument/2006/relationships/hyperlink" Target="http://dlvr.it/QstNbj" TargetMode="External"/><Relationship Id="rId2280" Type="http://schemas.openxmlformats.org/officeDocument/2006/relationships/hyperlink" Target="http://www.elnacional.cat/es/politica/editorial-monde-leer-albert-rivera_331719_102.html" TargetMode="External"/><Relationship Id="rId2378" Type="http://schemas.openxmlformats.org/officeDocument/2006/relationships/hyperlink" Target="https://www.mediafire.com/?6kmfocx1yi5p7w1" TargetMode="External"/><Relationship Id="rId252" Type="http://schemas.openxmlformats.org/officeDocument/2006/relationships/hyperlink" Target="http://www.utopiapp.com/blog/" TargetMode="External"/><Relationship Id="rId1187" Type="http://schemas.openxmlformats.org/officeDocument/2006/relationships/hyperlink" Target="https://elpais.com/politica/2018/11/28/actualidad/1543422865_729627.html?id_externo_rsoc=TW_CC" TargetMode="External"/><Relationship Id="rId2140" Type="http://schemas.openxmlformats.org/officeDocument/2006/relationships/hyperlink" Target="https://pbs.twimg.com/media/DtpkJA3XcAEL6mh.jpg" TargetMode="External"/><Relationship Id="rId2585" Type="http://schemas.openxmlformats.org/officeDocument/2006/relationships/hyperlink" Target="http://unpobrecitohablador.tumblr.com/" TargetMode="External"/><Relationship Id="rId2792" Type="http://schemas.openxmlformats.org/officeDocument/2006/relationships/hyperlink" Target="https://www.libertaddigital.com/espana/2018-12-03/ciudadanos-ya-no-descarta-a-vox-pero-insiste-en-pedir-a-psoe-y-pp-que-hagan-a-marin-presidente-1276629273/" TargetMode="External"/><Relationship Id="rId112" Type="http://schemas.openxmlformats.org/officeDocument/2006/relationships/hyperlink" Target="https://www.google.es/amp/www.libremercado.com/2017-08-30/francia-subira-los-impuestos-del-diesel-y-subvencionara-su-abandono-1276605061/amp.html" TargetMode="External"/><Relationship Id="rId557" Type="http://schemas.openxmlformats.org/officeDocument/2006/relationships/hyperlink" Target="http://trendinalia.com/twitter-trending-topics/spain/" TargetMode="External"/><Relationship Id="rId764" Type="http://schemas.openxmlformats.org/officeDocument/2006/relationships/hyperlink" Target="https://elpais.com/politica/2018/11/28/actualidad/1543422865_729627.html?id_externo_rsoc=TW_CC" TargetMode="External"/><Relationship Id="rId971" Type="http://schemas.openxmlformats.org/officeDocument/2006/relationships/hyperlink" Target="https://www.facebook.com/manuel.montalvo.73" TargetMode="External"/><Relationship Id="rId1394" Type="http://schemas.openxmlformats.org/officeDocument/2006/relationships/hyperlink" Target="http://tormenta78.com/" TargetMode="External"/><Relationship Id="rId1699" Type="http://schemas.openxmlformats.org/officeDocument/2006/relationships/hyperlink" Target="http://www.elmundo.es/espana/2018/12/05/5c07d10afc6c83de3f8b475c.html" TargetMode="External"/><Relationship Id="rId2000" Type="http://schemas.openxmlformats.org/officeDocument/2006/relationships/hyperlink" Target="http://www.hispanidad.com/" TargetMode="External"/><Relationship Id="rId2238" Type="http://schemas.openxmlformats.org/officeDocument/2006/relationships/hyperlink" Target="http://bit.ly/2Efvb75" TargetMode="External"/><Relationship Id="rId2445" Type="http://schemas.openxmlformats.org/officeDocument/2006/relationships/hyperlink" Target="https://www.huffingtonpost.es/2018/12/04/aznar-apuesta-por-un-pacto-de-pp-cs-y-vox-en-andalucia-aunque-sea-dificil_a_23608102/" TargetMode="External"/><Relationship Id="rId2652" Type="http://schemas.openxmlformats.org/officeDocument/2006/relationships/hyperlink" Target="https://pbs.twimg.com/media/Dtkf8aLWwAACN_k.jpg" TargetMode="External"/><Relationship Id="rId417" Type="http://schemas.openxmlformats.org/officeDocument/2006/relationships/hyperlink" Target="https://pbs.twimg.com/media/DtzVCj0WkAAB_N3.jpg" TargetMode="External"/><Relationship Id="rId624" Type="http://schemas.openxmlformats.org/officeDocument/2006/relationships/hyperlink" Target="https://www.elplural.com/politica/lo-nunca-contado-de-la-intima-amistad-entre-albert-rivera-y-santiago-abascal_207666102_amp?__twitter_impression=true" TargetMode="External"/><Relationship Id="rId831" Type="http://schemas.openxmlformats.org/officeDocument/2006/relationships/hyperlink" Target="https://twitter.com/juanmarin_cs/status/1070326961640235008" TargetMode="External"/><Relationship Id="rId1047" Type="http://schemas.openxmlformats.org/officeDocument/2006/relationships/hyperlink" Target="http://cabinaeneltiempo.blogspot.com/" TargetMode="External"/><Relationship Id="rId1254" Type="http://schemas.openxmlformats.org/officeDocument/2006/relationships/hyperlink" Target="http://www.tabarnia.es/" TargetMode="External"/><Relationship Id="rId1461" Type="http://schemas.openxmlformats.org/officeDocument/2006/relationships/hyperlink" Target="https://okdiario.com/espana/andalucia/2018/12/05/cs-amenaza-nuevas-elecciones-andalucia-porque-no-quiere-que-popular-moreno-sea-presidente-3432237" TargetMode="External"/><Relationship Id="rId2305" Type="http://schemas.openxmlformats.org/officeDocument/2006/relationships/hyperlink" Target="http://www.bimetallic-coins.com/" TargetMode="External"/><Relationship Id="rId2512" Type="http://schemas.openxmlformats.org/officeDocument/2006/relationships/hyperlink" Target="http://www.lacerca.com/" TargetMode="External"/><Relationship Id="rId929" Type="http://schemas.openxmlformats.org/officeDocument/2006/relationships/hyperlink" Target="https://www.eldiario.es/catalunya/politica/Valls-Rivera-Vox-populismo-separatismo_0_843066684.html" TargetMode="External"/><Relationship Id="rId1114" Type="http://schemas.openxmlformats.org/officeDocument/2006/relationships/hyperlink" Target="https://www.20minutos.es/noticia/3508559/0/albert-rivera-defender-nuestra-constitucion/" TargetMode="External"/><Relationship Id="rId1321" Type="http://schemas.openxmlformats.org/officeDocument/2006/relationships/hyperlink" Target="https://pbs.twimg.com/media/DtsJl43X4AAyjrC.jpg" TargetMode="External"/><Relationship Id="rId1559" Type="http://schemas.openxmlformats.org/officeDocument/2006/relationships/hyperlink" Target="https://pbs.twimg.com/media/DtrZxJzWsAISDCJ.jpg" TargetMode="External"/><Relationship Id="rId1766" Type="http://schemas.openxmlformats.org/officeDocument/2006/relationships/hyperlink" Target="https://www.lavanguardia.com/politica/20181205/453377887754/ciudadanos-albert-rivera-prioriza-pacto-pp-andalucia-irresponsable-descartar-vox-santiago-abascal.html" TargetMode="External"/><Relationship Id="rId1973" Type="http://schemas.openxmlformats.org/officeDocument/2006/relationships/hyperlink" Target="https://pbs.twimg.com/media/Dtoe2Q2WwAEs8aN.jpg" TargetMode="External"/><Relationship Id="rId58" Type="http://schemas.openxmlformats.org/officeDocument/2006/relationships/hyperlink" Target="https://www.facebook.com/pages/Espa%C3%B1oles-y-Venezolanos-Anti-Podemos/885396501484393?sk=timeline" TargetMode="External"/><Relationship Id="rId1419" Type="http://schemas.openxmlformats.org/officeDocument/2006/relationships/hyperlink" Target="http://www.elmundo.es/espana/2018/12/05/5c07d10afc6c83de3f8b475c.html" TargetMode="External"/><Relationship Id="rId1626" Type="http://schemas.openxmlformats.org/officeDocument/2006/relationships/hyperlink" Target="http://www.instagram.com/_aitanaa19" TargetMode="External"/><Relationship Id="rId1833" Type="http://schemas.openxmlformats.org/officeDocument/2006/relationships/hyperlink" Target="http://lrzn.es/gt8bv1" TargetMode="External"/><Relationship Id="rId1900" Type="http://schemas.openxmlformats.org/officeDocument/2006/relationships/hyperlink" Target="https://www.laopiniondemurcia.es/" TargetMode="External"/><Relationship Id="rId2095" Type="http://schemas.openxmlformats.org/officeDocument/2006/relationships/hyperlink" Target="http://www.europapress.es/" TargetMode="External"/><Relationship Id="rId274" Type="http://schemas.openxmlformats.org/officeDocument/2006/relationships/hyperlink" Target="https://www.elplural.com/autonomias/andalucia/el-futuro-de-andalucia-se-decide-en-madrid_207700102" TargetMode="External"/><Relationship Id="rId481" Type="http://schemas.openxmlformats.org/officeDocument/2006/relationships/hyperlink" Target="https://pbs.twimg.com/media/Dtzh7ehXQAAfUzi.jpg" TargetMode="External"/><Relationship Id="rId2162" Type="http://schemas.openxmlformats.org/officeDocument/2006/relationships/hyperlink" Target="http://ow.ly/knzH30mS4Y5" TargetMode="External"/><Relationship Id="rId134" Type="http://schemas.openxmlformats.org/officeDocument/2006/relationships/hyperlink" Target="https://www.elconfidencialdigital.com/articulo/politica/medidas-revitalizar-congreso-diputados-ap" TargetMode="External"/><Relationship Id="rId579" Type="http://schemas.openxmlformats.org/officeDocument/2006/relationships/hyperlink" Target="https://www.elplural.com/politica/lo-nunca-contado-de-la-intima-amistad-entre-albert-rivera-y-santiago-abascal_207666102" TargetMode="External"/><Relationship Id="rId786" Type="http://schemas.openxmlformats.org/officeDocument/2006/relationships/hyperlink" Target="https://scholar.google.com/citations?user=rjnKsr8AAAAJ&amp;hl=en" TargetMode="External"/><Relationship Id="rId993" Type="http://schemas.openxmlformats.org/officeDocument/2006/relationships/hyperlink" Target="http://www.bitmomentum.com/" TargetMode="External"/><Relationship Id="rId2467" Type="http://schemas.openxmlformats.org/officeDocument/2006/relationships/hyperlink" Target="https://pbs.twimg.com/media/DtmM8LLW4AEA318.jpg" TargetMode="External"/><Relationship Id="rId2674" Type="http://schemas.openxmlformats.org/officeDocument/2006/relationships/hyperlink" Target="http://edp.cat/" TargetMode="External"/><Relationship Id="rId341" Type="http://schemas.openxmlformats.org/officeDocument/2006/relationships/hyperlink" Target="http://www.citizengo.org/hazteoir/pc/167099-al-psoe-ni-agua-sr-rivera?tc=tw&amp;tcid=52571213" TargetMode="External"/><Relationship Id="rId439" Type="http://schemas.openxmlformats.org/officeDocument/2006/relationships/hyperlink" Target="http://pic.twitter.com/uWzokKZTdf" TargetMode="External"/><Relationship Id="rId646" Type="http://schemas.openxmlformats.org/officeDocument/2006/relationships/hyperlink" Target="https://pbs.twimg.com/media/DtwypkDWoAAVEd4.jpg" TargetMode="External"/><Relationship Id="rId1069" Type="http://schemas.openxmlformats.org/officeDocument/2006/relationships/hyperlink" Target="http://es.linkedin.com/in/marianosotogarcia/" TargetMode="External"/><Relationship Id="rId1276" Type="http://schemas.openxmlformats.org/officeDocument/2006/relationships/hyperlink" Target="https://youtu.be/V9YYQDqha-Q?mgs28=298368420" TargetMode="External"/><Relationship Id="rId1483" Type="http://schemas.openxmlformats.org/officeDocument/2006/relationships/hyperlink" Target="https://pbs.twimg.com/media/Dtrm2YiWoAANk2r.jpg" TargetMode="External"/><Relationship Id="rId2022" Type="http://schemas.openxmlformats.org/officeDocument/2006/relationships/hyperlink" Target="https://pbs.twimg.com/media/DtqCOulW4AE1KTE.jpg" TargetMode="External"/><Relationship Id="rId2327" Type="http://schemas.openxmlformats.org/officeDocument/2006/relationships/hyperlink" Target="http://edicionescatolicas.org/" TargetMode="External"/><Relationship Id="rId201" Type="http://schemas.openxmlformats.org/officeDocument/2006/relationships/hyperlink" Target="https://goo.gl/ni3XGd" TargetMode="External"/><Relationship Id="rId506" Type="http://schemas.openxmlformats.org/officeDocument/2006/relationships/hyperlink" Target="https://twitter.com/tonicanto1/status/1070592172469170177" TargetMode="External"/><Relationship Id="rId853" Type="http://schemas.openxmlformats.org/officeDocument/2006/relationships/hyperlink" Target="http://rtve.es/a/4876500" TargetMode="External"/><Relationship Id="rId1136" Type="http://schemas.openxmlformats.org/officeDocument/2006/relationships/hyperlink" Target="https://www.elplural.com/politica/vox-exige-a-pp-y-cs-que-andalucia-deje-de-ser-una-realidad-nacional_207636102" TargetMode="External"/><Relationship Id="rId1690" Type="http://schemas.openxmlformats.org/officeDocument/2006/relationships/hyperlink" Target="https://pbs.twimg.com/media/DtrDrSsWsAAFW3p.jpg" TargetMode="External"/><Relationship Id="rId1788" Type="http://schemas.openxmlformats.org/officeDocument/2006/relationships/hyperlink" Target="https://www.elmundo.es/espana/2018/12/05/5c07d10afc6c83de3f8b475c.html" TargetMode="External"/><Relationship Id="rId1995" Type="http://schemas.openxmlformats.org/officeDocument/2006/relationships/hyperlink" Target="https://pbs.twimg.com/media/Dtp_vkxXgAEBPCR.jpg" TargetMode="External"/><Relationship Id="rId2534" Type="http://schemas.openxmlformats.org/officeDocument/2006/relationships/hyperlink" Target="https://pbs.twimg.com/media/DtloSwWW0AEWRg2.jpg" TargetMode="External"/><Relationship Id="rId2741" Type="http://schemas.openxmlformats.org/officeDocument/2006/relationships/hyperlink" Target="http://pildorasantimasoneria.blogspot.com/" TargetMode="External"/><Relationship Id="rId713" Type="http://schemas.openxmlformats.org/officeDocument/2006/relationships/hyperlink" Target="https://twitter.com/Albert_Rivera/status/1070425503234961410" TargetMode="External"/><Relationship Id="rId920" Type="http://schemas.openxmlformats.org/officeDocument/2006/relationships/hyperlink" Target="http://atres.red/3w0ag4" TargetMode="External"/><Relationship Id="rId1343" Type="http://schemas.openxmlformats.org/officeDocument/2006/relationships/hyperlink" Target="https://pbs.twimg.com/media/DtsCsSPW0AEvKiW.jpg" TargetMode="External"/><Relationship Id="rId1550" Type="http://schemas.openxmlformats.org/officeDocument/2006/relationships/hyperlink" Target="https://okdiario.com/espana/andalucia/2018/12/05/cs-amenaza-nuevas-elecciones-andalucia-porque-no-quiere-que-popular-moreno-sea-presidente-3432237" TargetMode="External"/><Relationship Id="rId1648" Type="http://schemas.openxmlformats.org/officeDocument/2006/relationships/hyperlink" Target="http://www.espa&#241;a-ciudadana.es/" TargetMode="External"/><Relationship Id="rId2601" Type="http://schemas.openxmlformats.org/officeDocument/2006/relationships/hyperlink" Target="http://www.enblau.com/es/" TargetMode="External"/><Relationship Id="rId1203" Type="http://schemas.openxmlformats.org/officeDocument/2006/relationships/hyperlink" Target="https://elpais.com/politica/2018/11/28/actualidad/1543422865_729627.html" TargetMode="External"/><Relationship Id="rId1410" Type="http://schemas.openxmlformats.org/officeDocument/2006/relationships/hyperlink" Target="http://noticiasvenezuela.org/" TargetMode="External"/><Relationship Id="rId1508" Type="http://schemas.openxmlformats.org/officeDocument/2006/relationships/hyperlink" Target="https://www.youtube.com/channel/UCl-_iYBzcBZvjEoHp81MlUg" TargetMode="External"/><Relationship Id="rId1855" Type="http://schemas.openxmlformats.org/officeDocument/2006/relationships/hyperlink" Target="https://www.playgroundmag.net/now/europa-o-los-fachas-la-amnesia-disociativa-de-albert-rivera_31443293.html" TargetMode="External"/><Relationship Id="rId1715" Type="http://schemas.openxmlformats.org/officeDocument/2006/relationships/hyperlink" Target="https://www.ciudadanos-cs.org/" TargetMode="External"/><Relationship Id="rId1922" Type="http://schemas.openxmlformats.org/officeDocument/2006/relationships/hyperlink" Target="https://okdiario.com/espana/andalucia/2018/12/05/rivera-dispuesto-pacto-pp-sin-descartar-vox-pero-marin-presidente-3430883" TargetMode="External"/><Relationship Id="rId296" Type="http://schemas.openxmlformats.org/officeDocument/2006/relationships/hyperlink" Target="http://pic.twitter.com/unRiKIbynu" TargetMode="External"/><Relationship Id="rId2184" Type="http://schemas.openxmlformats.org/officeDocument/2006/relationships/hyperlink" Target="http://iessecundaria.wordpress.com/" TargetMode="External"/><Relationship Id="rId2391" Type="http://schemas.openxmlformats.org/officeDocument/2006/relationships/hyperlink" Target="https://pbs.twimg.com/media/Dtm28JtW0AE9tMz.jpg" TargetMode="External"/><Relationship Id="rId156" Type="http://schemas.openxmlformats.org/officeDocument/2006/relationships/hyperlink" Target="https://pbs.twimg.com/media/Dt4jLzYU8AAu0fH.jpg" TargetMode="External"/><Relationship Id="rId363" Type="http://schemas.openxmlformats.org/officeDocument/2006/relationships/hyperlink" Target="https://www.elplural.com/politica/lo-nunca-contado-de-la-intima-amistad-entre-albert-rivera-y-santiago-abascal_207666102" TargetMode="External"/><Relationship Id="rId570" Type="http://schemas.openxmlformats.org/officeDocument/2006/relationships/hyperlink" Target="http://m.xcatalunya.cat/noticies/detail.php?id=41240" TargetMode="External"/><Relationship Id="rId2044" Type="http://schemas.openxmlformats.org/officeDocument/2006/relationships/hyperlink" Target="https://www.elmundo.es/opinion/2018/12/05/5c06b60efdddfff2538b45fe.html" TargetMode="External"/><Relationship Id="rId2251" Type="http://schemas.openxmlformats.org/officeDocument/2006/relationships/hyperlink" Target="https://twitter.com/desamparadosb/status/1070231247836889088" TargetMode="External"/><Relationship Id="rId2489" Type="http://schemas.openxmlformats.org/officeDocument/2006/relationships/hyperlink" Target="http://www.bitmomentum.com/" TargetMode="External"/><Relationship Id="rId2696" Type="http://schemas.openxmlformats.org/officeDocument/2006/relationships/hyperlink" Target="https://twitter.com/vgomezfrias/status/1069361717019324416" TargetMode="External"/><Relationship Id="rId223" Type="http://schemas.openxmlformats.org/officeDocument/2006/relationships/hyperlink" Target="https://twitter.com/miqueliceta/status/1070980992964411392" TargetMode="External"/><Relationship Id="rId430" Type="http://schemas.openxmlformats.org/officeDocument/2006/relationships/hyperlink" Target="https://www.elplural.com/politica/lo-nunca-contado-de-la-intima-amistad-entre-albert-rivera-y-santiago-abascal_207666102" TargetMode="External"/><Relationship Id="rId668" Type="http://schemas.openxmlformats.org/officeDocument/2006/relationships/hyperlink" Target="https://pbs.twimg.com/media/Dtwkvy_XcAEMZyk.jpg" TargetMode="External"/><Relationship Id="rId875" Type="http://schemas.openxmlformats.org/officeDocument/2006/relationships/hyperlink" Target="http://www.citizengo.org/hazteoir/pc/167099-al-psoe-ni-agua-sr-rivera?tc=tw&amp;tcid=52559105" TargetMode="External"/><Relationship Id="rId1060" Type="http://schemas.openxmlformats.org/officeDocument/2006/relationships/hyperlink" Target="http://elpais.com/autor/jose_marcos/a" TargetMode="External"/><Relationship Id="rId1298" Type="http://schemas.openxmlformats.org/officeDocument/2006/relationships/hyperlink" Target="http://pic.twitter.com/9fjw29Nnr5" TargetMode="External"/><Relationship Id="rId2111" Type="http://schemas.openxmlformats.org/officeDocument/2006/relationships/hyperlink" Target="http://www.losmomentosalpedo.com/" TargetMode="External"/><Relationship Id="rId2349" Type="http://schemas.openxmlformats.org/officeDocument/2006/relationships/hyperlink" Target="http://ramblalibre.com/2018/12/05/pedro-j-ramirez-obsesionado-contra-vox-impone-sus-criterios-a-albert-rivera/" TargetMode="External"/><Relationship Id="rId2556" Type="http://schemas.openxmlformats.org/officeDocument/2006/relationships/hyperlink" Target="https://pbs.twimg.com/media/Dtk6SIBWsAAgcIZ.jpg" TargetMode="External"/><Relationship Id="rId2763" Type="http://schemas.openxmlformats.org/officeDocument/2006/relationships/hyperlink" Target="https://a.msn.com/r/2/BBQsFak?m=es-es&amp;referrerID=InAppShare" TargetMode="External"/><Relationship Id="rId528" Type="http://schemas.openxmlformats.org/officeDocument/2006/relationships/hyperlink" Target="http://pic.twitter.com/xcfstQ1tcJ" TargetMode="External"/><Relationship Id="rId735" Type="http://schemas.openxmlformats.org/officeDocument/2006/relationships/hyperlink" Target="http://ajcalzado.blogspot.com.es/" TargetMode="External"/><Relationship Id="rId942" Type="http://schemas.openxmlformats.org/officeDocument/2006/relationships/hyperlink" Target="http://www.aquieuropa.com/noticia/65888-la-ultraderecha-europea-aplaude-el-auge-de-vox-en-andalucia" TargetMode="External"/><Relationship Id="rId1158" Type="http://schemas.openxmlformats.org/officeDocument/2006/relationships/hyperlink" Target="http://yamahatricker.blogspot.com.es/?zx=344a151fea889dd8" TargetMode="External"/><Relationship Id="rId1365" Type="http://schemas.openxmlformats.org/officeDocument/2006/relationships/hyperlink" Target="https://bit.ly/2zKeDjz" TargetMode="External"/><Relationship Id="rId1572" Type="http://schemas.openxmlformats.org/officeDocument/2006/relationships/hyperlink" Target="https://www.lavanguardia.com/politica/20181205/453377887754/ciudadanos-albert-rivera-prioriza-pacto-pp-andalucia-irresponsable-descartar-vox-santiago-abascal.html?utm_campaign=botones_sociales_app" TargetMode="External"/><Relationship Id="rId2209" Type="http://schemas.openxmlformats.org/officeDocument/2006/relationships/hyperlink" Target="https://pbs.twimg.com/media/DtpRVKnWwAAdTZ1.jpg" TargetMode="External"/><Relationship Id="rId2416" Type="http://schemas.openxmlformats.org/officeDocument/2006/relationships/hyperlink" Target="http://es.linkedin.com/in/finaesvertit" TargetMode="External"/><Relationship Id="rId2623" Type="http://schemas.openxmlformats.org/officeDocument/2006/relationships/hyperlink" Target="http://www.delarosalopez.es/" TargetMode="External"/><Relationship Id="rId1018" Type="http://schemas.openxmlformats.org/officeDocument/2006/relationships/hyperlink" Target="https://youtu.be/V9YYQDqha-Q?suf85=4374255039" TargetMode="External"/><Relationship Id="rId1225" Type="http://schemas.openxmlformats.org/officeDocument/2006/relationships/hyperlink" Target="https://pbs.twimg.com/media/Dtt5AVlXcAEz4Nm.jpg" TargetMode="External"/><Relationship Id="rId1432" Type="http://schemas.openxmlformats.org/officeDocument/2006/relationships/hyperlink" Target="http://ow.ly/OKR630mSrHB" TargetMode="External"/><Relationship Id="rId1877" Type="http://schemas.openxmlformats.org/officeDocument/2006/relationships/hyperlink" Target="https://www.20minutos.es/noticia/3509445/0/albert-rivera-pactos-andalucia-vox-sanchez/" TargetMode="External"/><Relationship Id="rId71" Type="http://schemas.openxmlformats.org/officeDocument/2006/relationships/hyperlink" Target="http://pic.twitter.com/SYxRcmPVKU" TargetMode="External"/><Relationship Id="rId802" Type="http://schemas.openxmlformats.org/officeDocument/2006/relationships/hyperlink" Target="https://pbs.twimg.com/media/DtvxSWvWoAAz-ws.jpg" TargetMode="External"/><Relationship Id="rId1737" Type="http://schemas.openxmlformats.org/officeDocument/2006/relationships/hyperlink" Target="http://www.bitmomentum.com/" TargetMode="External"/><Relationship Id="rId1944" Type="http://schemas.openxmlformats.org/officeDocument/2006/relationships/hyperlink" Target="https://www.elconfidencial.com/espana/2018-12-05/la-ejecutiva-de-cs-aprueba-ya-negociar-un-gobierno-con-el-pp-sin-descartar-a-vox_1688210/?utm_source=twitter&amp;utm_medium=social&amp;utm_campaign=ECDiarioManual" TargetMode="External"/><Relationship Id="rId29" Type="http://schemas.openxmlformats.org/officeDocument/2006/relationships/hyperlink" Target="http://enriquefcomaldo.wordpress.com/blog/" TargetMode="External"/><Relationship Id="rId178" Type="http://schemas.openxmlformats.org/officeDocument/2006/relationships/hyperlink" Target="https://www.elconfidencialdigital.com/articulo/politica/albert-rivera-tiene-plan-pactar-vox-enfadar-socios-europeos/20181207212045119111.html" TargetMode="External"/><Relationship Id="rId1804" Type="http://schemas.openxmlformats.org/officeDocument/2006/relationships/hyperlink" Target="http://pablomartinezcalleja.blogspot.de/" TargetMode="External"/><Relationship Id="rId385" Type="http://schemas.openxmlformats.org/officeDocument/2006/relationships/hyperlink" Target="http://arsfilosofo.org/" TargetMode="External"/><Relationship Id="rId592" Type="http://schemas.openxmlformats.org/officeDocument/2006/relationships/hyperlink" Target="https://www.independent.co.uk/news/world/europe/andalusia-election-results-far-right-vox-spain-citizens-psoe-a8664496.html" TargetMode="External"/><Relationship Id="rId2066" Type="http://schemas.openxmlformats.org/officeDocument/2006/relationships/hyperlink" Target="https://pbs.twimg.com/media/Dtp4z68WsAAGZ2o.jpg" TargetMode="External"/><Relationship Id="rId2273" Type="http://schemas.openxmlformats.org/officeDocument/2006/relationships/hyperlink" Target="https://excesodeyang.wordpress.com/" TargetMode="External"/><Relationship Id="rId2480" Type="http://schemas.openxmlformats.org/officeDocument/2006/relationships/hyperlink" Target="https://pbs.twimg.com/media/DtmAwNHX4AEQQ8d.jpg" TargetMode="External"/><Relationship Id="rId245" Type="http://schemas.openxmlformats.org/officeDocument/2006/relationships/hyperlink" Target="http://www.citizengo.org/hazteoir/pc/167099-al-psoe-ni-agua-sr-rivera?tc=tw&amp;tcid=52575881" TargetMode="External"/><Relationship Id="rId452" Type="http://schemas.openxmlformats.org/officeDocument/2006/relationships/hyperlink" Target="https://twitter.com/MailloAntonio/status/1070997685585526785" TargetMode="External"/><Relationship Id="rId897" Type="http://schemas.openxmlformats.org/officeDocument/2006/relationships/hyperlink" Target="http://www.citizengo.org/hazteoir/pc/167099-al-psoe-ni-agua-sr-rivera?tc=tw&amp;tcid=52558896" TargetMode="External"/><Relationship Id="rId1082" Type="http://schemas.openxmlformats.org/officeDocument/2006/relationships/hyperlink" Target="https://twitter.com/Albert_Rivera/status/1070619826392064000" TargetMode="External"/><Relationship Id="rId2133" Type="http://schemas.openxmlformats.org/officeDocument/2006/relationships/hyperlink" Target="http://carlesalberchverges.blogspot.com/" TargetMode="External"/><Relationship Id="rId2340" Type="http://schemas.openxmlformats.org/officeDocument/2006/relationships/hyperlink" Target="https://blogdejuanpardo.blogspot.com/2018/12/por-que-albert-rivera-se-salto-el.html" TargetMode="External"/><Relationship Id="rId2578" Type="http://schemas.openxmlformats.org/officeDocument/2006/relationships/hyperlink" Target="http://tarragonadigital.com/" TargetMode="External"/><Relationship Id="rId2785" Type="http://schemas.openxmlformats.org/officeDocument/2006/relationships/hyperlink" Target="https://sevilla.abc.es/elecciones/andalucia/sevi-elecciones-andalucia-2018-ciudadanos-y-psoe-ofrecen-para-gobernar-ajenos-mandato-elecciones-andaluzas-201812040014_noticia.html" TargetMode="External"/><Relationship Id="rId105" Type="http://schemas.openxmlformats.org/officeDocument/2006/relationships/hyperlink" Target="https://pbs.twimg.com/media/Dt5CSUWXgAEHK_8.jpg" TargetMode="External"/><Relationship Id="rId312" Type="http://schemas.openxmlformats.org/officeDocument/2006/relationships/hyperlink" Target="http://pic.twitter.com/hSU9RqIroU" TargetMode="External"/><Relationship Id="rId757" Type="http://schemas.openxmlformats.org/officeDocument/2006/relationships/hyperlink" Target="https://pbs.twimg.com/media/Dtu7QrOX4AAewu0.jpg" TargetMode="External"/><Relationship Id="rId964" Type="http://schemas.openxmlformats.org/officeDocument/2006/relationships/hyperlink" Target="http://www.lacerca.com/" TargetMode="External"/><Relationship Id="rId1387" Type="http://schemas.openxmlformats.org/officeDocument/2006/relationships/hyperlink" Target="https://pbs.twimg.com/media/Dtr01zWU4AAVLL9.jpg" TargetMode="External"/><Relationship Id="rId1594" Type="http://schemas.openxmlformats.org/officeDocument/2006/relationships/hyperlink" Target="http://facebook.com/f.diazfran" TargetMode="External"/><Relationship Id="rId2200" Type="http://schemas.openxmlformats.org/officeDocument/2006/relationships/hyperlink" Target="https://pbs.twimg.com/media/DtpTw4EW0AEfLE7.jpg" TargetMode="External"/><Relationship Id="rId2438" Type="http://schemas.openxmlformats.org/officeDocument/2006/relationships/hyperlink" Target="https://pbs.twimg.com/media/DtmaJbyXcAQX7CA.jpg" TargetMode="External"/><Relationship Id="rId2645" Type="http://schemas.openxmlformats.org/officeDocument/2006/relationships/hyperlink" Target="http://www.gppopular.es/diputados/ana-belen-vazquez/" TargetMode="External"/><Relationship Id="rId93" Type="http://schemas.openxmlformats.org/officeDocument/2006/relationships/hyperlink" Target="http://www.huffingtonpost.es/" TargetMode="External"/><Relationship Id="rId617" Type="http://schemas.openxmlformats.org/officeDocument/2006/relationships/hyperlink" Target="http://pic.twitter.com/FE0Z7wkRrE" TargetMode="External"/><Relationship Id="rId824" Type="http://schemas.openxmlformats.org/officeDocument/2006/relationships/hyperlink" Target="http://pic.twitter.com/4njlvLDIZY" TargetMode="External"/><Relationship Id="rId1247" Type="http://schemas.openxmlformats.org/officeDocument/2006/relationships/hyperlink" Target="https://www.instagram.com/arezno/" TargetMode="External"/><Relationship Id="rId1454" Type="http://schemas.openxmlformats.org/officeDocument/2006/relationships/hyperlink" Target="http://www.ciudadanos-cs.org/" TargetMode="External"/><Relationship Id="rId1661" Type="http://schemas.openxmlformats.org/officeDocument/2006/relationships/hyperlink" Target="http://ow.ly/jy5r30mSwVg" TargetMode="External"/><Relationship Id="rId1899" Type="http://schemas.openxmlformats.org/officeDocument/2006/relationships/hyperlink" Target="https://www.laopiniondemurcia.es/nacional/2018/12/05/manuel-valls-haber-pacto-vox/978249.html" TargetMode="External"/><Relationship Id="rId2505" Type="http://schemas.openxmlformats.org/officeDocument/2006/relationships/hyperlink" Target="https://twitter.com/jordijuan3/status/1069958854711095296" TargetMode="External"/><Relationship Id="rId2712" Type="http://schemas.openxmlformats.org/officeDocument/2006/relationships/hyperlink" Target="https://twitter.com/VickyRosell/status/1069863993622310912" TargetMode="External"/><Relationship Id="rId1107" Type="http://schemas.openxmlformats.org/officeDocument/2006/relationships/hyperlink" Target="http://www.rtve.es/noticias/mas-24/" TargetMode="External"/><Relationship Id="rId1314" Type="http://schemas.openxmlformats.org/officeDocument/2006/relationships/hyperlink" Target="https://twitter.com/MiguelBarrero/status/1070225671111225344" TargetMode="External"/><Relationship Id="rId1521" Type="http://schemas.openxmlformats.org/officeDocument/2006/relationships/hyperlink" Target="http://triangol.agency/" TargetMode="External"/><Relationship Id="rId1759" Type="http://schemas.openxmlformats.org/officeDocument/2006/relationships/hyperlink" Target="http://pic.twitter.com/8WuAxPt5nf" TargetMode="External"/><Relationship Id="rId1966" Type="http://schemas.openxmlformats.org/officeDocument/2006/relationships/hyperlink" Target="https://pbs.twimg.com/media/DtqPJznW0AANxul.jpg" TargetMode="External"/><Relationship Id="rId1619" Type="http://schemas.openxmlformats.org/officeDocument/2006/relationships/hyperlink" Target="http://pic.twitter.com/WdBfifmxHl" TargetMode="External"/><Relationship Id="rId1826" Type="http://schemas.openxmlformats.org/officeDocument/2006/relationships/hyperlink" Target="https://pbs.twimg.com/media/DtpDaCXW4AAY-d0.jpg" TargetMode="External"/><Relationship Id="rId20" Type="http://schemas.openxmlformats.org/officeDocument/2006/relationships/hyperlink" Target="https://twitter.com/alwaysfree86/status/1070299080906211329?s=19" TargetMode="External"/><Relationship Id="rId2088" Type="http://schemas.openxmlformats.org/officeDocument/2006/relationships/hyperlink" Target="https://www.facebook.com/pages/Juan-Carlos-DZ/102718446446495?fref=ts" TargetMode="External"/><Relationship Id="rId2295" Type="http://schemas.openxmlformats.org/officeDocument/2006/relationships/hyperlink" Target="https://www.elconfidencial.com/espana/2018-12-04/directo-pedro-sanchez-entrevista_1686582/" TargetMode="External"/><Relationship Id="rId267" Type="http://schemas.openxmlformats.org/officeDocument/2006/relationships/hyperlink" Target="http://www.elplural.com/" TargetMode="External"/><Relationship Id="rId474" Type="http://schemas.openxmlformats.org/officeDocument/2006/relationships/hyperlink" Target="https://www.elespanol.com/espana/politica/20181206/casado-excluye-vox-acuerdo-andalucia-negociacion-cs/358714839_0.html" TargetMode="External"/><Relationship Id="rId2155" Type="http://schemas.openxmlformats.org/officeDocument/2006/relationships/hyperlink" Target="https://pbs.twimg.com/media/Dtk0hzWWkAAFUfH.jpg" TargetMode="External"/><Relationship Id="rId127" Type="http://schemas.openxmlformats.org/officeDocument/2006/relationships/hyperlink" Target="https://blogs.elconfidencial.com/espana/notebook/2018-12-08/vox-albert-rivera-pactos-andalucia-centro-europeista_1692818/" TargetMode="External"/><Relationship Id="rId681" Type="http://schemas.openxmlformats.org/officeDocument/2006/relationships/hyperlink" Target="https://www.elplural.com/politica/lo-nunca-contado-de-la-intima-amistad-entre-albert-rivera-y-santiago-abascal_207666102" TargetMode="External"/><Relationship Id="rId779" Type="http://schemas.openxmlformats.org/officeDocument/2006/relationships/hyperlink" Target="https://pbs.twimg.com/media/Dtv4gL0X4AAPZOv.jpg" TargetMode="External"/><Relationship Id="rId986" Type="http://schemas.openxmlformats.org/officeDocument/2006/relationships/hyperlink" Target="https://pbs.twimg.com/media/Dtuz7m4WoAMU013.jpg" TargetMode="External"/><Relationship Id="rId2362" Type="http://schemas.openxmlformats.org/officeDocument/2006/relationships/hyperlink" Target="https://twitter.com/abogadodesecano/status/1070071607576723456" TargetMode="External"/><Relationship Id="rId2667" Type="http://schemas.openxmlformats.org/officeDocument/2006/relationships/hyperlink" Target="https://pbs.twimg.com/media/DtkZuXZUcAEWaCl.jpg" TargetMode="External"/><Relationship Id="rId334" Type="http://schemas.openxmlformats.org/officeDocument/2006/relationships/hyperlink" Target="https://pbs.twimg.com/media/Dt06s4tX4AA4u9s.jpg" TargetMode="External"/><Relationship Id="rId541" Type="http://schemas.openxmlformats.org/officeDocument/2006/relationships/hyperlink" Target="http://www.ciudadanos-cs.org/" TargetMode="External"/><Relationship Id="rId639" Type="http://schemas.openxmlformats.org/officeDocument/2006/relationships/hyperlink" Target="http://www.bitmomentum.com/" TargetMode="External"/><Relationship Id="rId1171" Type="http://schemas.openxmlformats.org/officeDocument/2006/relationships/hyperlink" Target="http://www.lextres.com/" TargetMode="External"/><Relationship Id="rId1269" Type="http://schemas.openxmlformats.org/officeDocument/2006/relationships/hyperlink" Target="http://www.bitmomentum.com/" TargetMode="External"/><Relationship Id="rId1476" Type="http://schemas.openxmlformats.org/officeDocument/2006/relationships/hyperlink" Target="http://www.elplural.com/" TargetMode="External"/><Relationship Id="rId2015" Type="http://schemas.openxmlformats.org/officeDocument/2006/relationships/hyperlink" Target="http://pic.twitter.com/HmpuK8uJIP" TargetMode="External"/><Relationship Id="rId2222" Type="http://schemas.openxmlformats.org/officeDocument/2006/relationships/hyperlink" Target="http://bit.ly/2SsZASj" TargetMode="External"/><Relationship Id="rId401" Type="http://schemas.openxmlformats.org/officeDocument/2006/relationships/hyperlink" Target="https://pbs.twimg.com/media/Dt0V1A2W4AA3ulM.jpg" TargetMode="External"/><Relationship Id="rId846" Type="http://schemas.openxmlformats.org/officeDocument/2006/relationships/hyperlink" Target="https://pbs.twimg.com/media/Dtvj-auXQAM-VIM.jpg" TargetMode="External"/><Relationship Id="rId1031" Type="http://schemas.openxmlformats.org/officeDocument/2006/relationships/hyperlink" Target="http://pic.twitter.com/hNGxlsIz8P" TargetMode="External"/><Relationship Id="rId1129" Type="http://schemas.openxmlformats.org/officeDocument/2006/relationships/hyperlink" Target="https://pbs.twimg.com/media/DtuZAGHXcAAGIHK.jpg" TargetMode="External"/><Relationship Id="rId1683" Type="http://schemas.openxmlformats.org/officeDocument/2006/relationships/hyperlink" Target="http://www.fernandezdelcampo.es/" TargetMode="External"/><Relationship Id="rId1890" Type="http://schemas.openxmlformats.org/officeDocument/2006/relationships/hyperlink" Target="https://m.eldiario.es/politica/Albert_Rivera-Ciudadanos-Andalucia-pactos-PP-Vox_0_843065834.html" TargetMode="External"/><Relationship Id="rId1988" Type="http://schemas.openxmlformats.org/officeDocument/2006/relationships/hyperlink" Target="https://pbs.twimg.com/media/DtqHStBWsAACUGI.jpg" TargetMode="External"/><Relationship Id="rId2527" Type="http://schemas.openxmlformats.org/officeDocument/2006/relationships/hyperlink" Target="http://www.partidoconservador.com/" TargetMode="External"/><Relationship Id="rId2734" Type="http://schemas.openxmlformats.org/officeDocument/2006/relationships/hyperlink" Target="https://elpais.com/politica/2018/12/03/actualidad/1543834810_981190.html" TargetMode="External"/><Relationship Id="rId706" Type="http://schemas.openxmlformats.org/officeDocument/2006/relationships/hyperlink" Target="http://www.elplural.com/" TargetMode="External"/><Relationship Id="rId913" Type="http://schemas.openxmlformats.org/officeDocument/2006/relationships/hyperlink" Target="http://www.infoheaders.com/" TargetMode="External"/><Relationship Id="rId1336" Type="http://schemas.openxmlformats.org/officeDocument/2006/relationships/hyperlink" Target="http://pic.twitter.com/hNGxlsIz8P" TargetMode="External"/><Relationship Id="rId1543" Type="http://schemas.openxmlformats.org/officeDocument/2006/relationships/hyperlink" Target="https://www.publico.es/politica/exclusiva-extrema-derecha-policial-vox-infiltro-jusapol-sectores-ultra-policia-apoyaron-despegue-electoral.html" TargetMode="External"/><Relationship Id="rId1750" Type="http://schemas.openxmlformats.org/officeDocument/2006/relationships/hyperlink" Target="http://www.elnacional.cat/es/" TargetMode="External"/><Relationship Id="rId42" Type="http://schemas.openxmlformats.org/officeDocument/2006/relationships/hyperlink" Target="https://www.youtube.com/channel/UC4pLa55R6EOOyyfUaZ3eenQ" TargetMode="External"/><Relationship Id="rId1403" Type="http://schemas.openxmlformats.org/officeDocument/2006/relationships/hyperlink" Target="http://www.ciudadanos-cs.org/" TargetMode="External"/><Relationship Id="rId1610" Type="http://schemas.openxmlformats.org/officeDocument/2006/relationships/hyperlink" Target="https://www.youtube.com/channel/UCY60GBj-H8SmayRG1UgDVWw" TargetMode="External"/><Relationship Id="rId1848" Type="http://schemas.openxmlformats.org/officeDocument/2006/relationships/hyperlink" Target="https://pbs.twimg.com/media/Dtqm_vMWoAUz-_i.jpg" TargetMode="External"/><Relationship Id="rId191" Type="http://schemas.openxmlformats.org/officeDocument/2006/relationships/hyperlink" Target="https://blogs.elconfidencial.com/espana/notebook/2018-12-08/vox-albert-rivera-pactos-andalucia-centro-europeista_1692818/?utm_campaign=BotoneraWebapp&amp;utm_source=twitter&amp;utm_medium=social" TargetMode="External"/><Relationship Id="rId1708" Type="http://schemas.openxmlformats.org/officeDocument/2006/relationships/hyperlink" Target="http://www.huffingtonpost.es/" TargetMode="External"/><Relationship Id="rId1915" Type="http://schemas.openxmlformats.org/officeDocument/2006/relationships/hyperlink" Target="https://www.20minutos.es/noticia/3508559/0/albert-rivera-defender-nuestra-constitucion/?utm_source=twitter.com&amp;utm_medium=socialshare&amp;utm_campaign=mobile_web" TargetMode="External"/><Relationship Id="rId289" Type="http://schemas.openxmlformats.org/officeDocument/2006/relationships/hyperlink" Target="https://youtu.be/V9YYQDqha-Q?bws99=3200990305" TargetMode="External"/><Relationship Id="rId496" Type="http://schemas.openxmlformats.org/officeDocument/2006/relationships/hyperlink" Target="https://pbs.twimg.com/media/DtzaBwaXQAAnC-C.jpg" TargetMode="External"/><Relationship Id="rId2177" Type="http://schemas.openxmlformats.org/officeDocument/2006/relationships/hyperlink" Target="https://www.ciudadanos-cs.org/" TargetMode="External"/><Relationship Id="rId2384" Type="http://schemas.openxmlformats.org/officeDocument/2006/relationships/hyperlink" Target="https://projecto2019vendre.wixsite.com/tatarlak" TargetMode="External"/><Relationship Id="rId2591" Type="http://schemas.openxmlformats.org/officeDocument/2006/relationships/hyperlink" Target="https://pbs.twimg.com/media/Dtk7tf8XQAEyb7w.jpg" TargetMode="External"/><Relationship Id="rId149" Type="http://schemas.openxmlformats.org/officeDocument/2006/relationships/hyperlink" Target="https://pbs.twimg.com/media/Dt4lomcWsAA4oZO.jpg" TargetMode="External"/><Relationship Id="rId356" Type="http://schemas.openxmlformats.org/officeDocument/2006/relationships/hyperlink" Target="https://youtu.be/V9YYQDqha-Q?toa66=3878515042" TargetMode="External"/><Relationship Id="rId563" Type="http://schemas.openxmlformats.org/officeDocument/2006/relationships/hyperlink" Target="https://www.elperiodicoextremadura.com/noticias/cultura/alberto-san-juan-willy-toledo-si-albert-rivera-sonara-bandera-seria-mas-creible_1130598.html" TargetMode="External"/><Relationship Id="rId770" Type="http://schemas.openxmlformats.org/officeDocument/2006/relationships/hyperlink" Target="https://pbs.twimg.com/media/Dtv6blIU0AAPfu_.jpg" TargetMode="External"/><Relationship Id="rId1193" Type="http://schemas.openxmlformats.org/officeDocument/2006/relationships/hyperlink" Target="https://pbs.twimg.com/media/DtuF0WAW0AEiokO.jpg" TargetMode="External"/><Relationship Id="rId2037" Type="http://schemas.openxmlformats.org/officeDocument/2006/relationships/hyperlink" Target="https://pbs.twimg.com/media/Dto8Ew6WkAAJiIO.jpg" TargetMode="External"/><Relationship Id="rId2244" Type="http://schemas.openxmlformats.org/officeDocument/2006/relationships/hyperlink" Target="https://pbs.twimg.com/media/DtpIIl_VAAAFAxG.jpg" TargetMode="External"/><Relationship Id="rId2451" Type="http://schemas.openxmlformats.org/officeDocument/2006/relationships/hyperlink" Target="https://www.mundiario.com/articulo/politica/pablo-casado-albert-rivera-cambian-argumentos-despues-2-d/20181204002953139671.html" TargetMode="External"/><Relationship Id="rId2689" Type="http://schemas.openxmlformats.org/officeDocument/2006/relationships/hyperlink" Target="https://www.instagram.com/p/Bq9k2G9gfbI/?utm_source=ig_twitter_share&amp;igshid=ckhwpnnfhxm2" TargetMode="External"/><Relationship Id="rId216" Type="http://schemas.openxmlformats.org/officeDocument/2006/relationships/hyperlink" Target="https://contactohoy.com.mx/el-politico-espanol-albert-rivera-califica-a-betancur-de-gran-estadista/" TargetMode="External"/><Relationship Id="rId423" Type="http://schemas.openxmlformats.org/officeDocument/2006/relationships/hyperlink" Target="http://partidorepes.wordpress.com/" TargetMode="External"/><Relationship Id="rId868" Type="http://schemas.openxmlformats.org/officeDocument/2006/relationships/hyperlink" Target="https://pbs.twimg.com/media/DtvZr84WoAAEa4V.jpg" TargetMode="External"/><Relationship Id="rId1053" Type="http://schemas.openxmlformats.org/officeDocument/2006/relationships/hyperlink" Target="http://pic.twitter.com/C5uuFwleaz" TargetMode="External"/><Relationship Id="rId1260" Type="http://schemas.openxmlformats.org/officeDocument/2006/relationships/hyperlink" Target="http://www.larazon.es/" TargetMode="External"/><Relationship Id="rId1498" Type="http://schemas.openxmlformats.org/officeDocument/2006/relationships/hyperlink" Target="http://ayuntamiento-barcelona.ciudadanos-cs.org/" TargetMode="External"/><Relationship Id="rId2104" Type="http://schemas.openxmlformats.org/officeDocument/2006/relationships/hyperlink" Target="http://bizzentte.com/" TargetMode="External"/><Relationship Id="rId2549" Type="http://schemas.openxmlformats.org/officeDocument/2006/relationships/hyperlink" Target="http://ignacioromero.blogspot.com/" TargetMode="External"/><Relationship Id="rId2756" Type="http://schemas.openxmlformats.org/officeDocument/2006/relationships/hyperlink" Target="https://twitter.com/ElHuffPost/status/1069859206952566784" TargetMode="External"/><Relationship Id="rId630" Type="http://schemas.openxmlformats.org/officeDocument/2006/relationships/hyperlink" Target="https://twitter.com/thecentenator/status/1070371737093713926" TargetMode="External"/><Relationship Id="rId728" Type="http://schemas.openxmlformats.org/officeDocument/2006/relationships/hyperlink" Target="https://twitter.com/invictus_deus/status/1070747206427267072" TargetMode="External"/><Relationship Id="rId935" Type="http://schemas.openxmlformats.org/officeDocument/2006/relationships/hyperlink" Target="http://manutenorio2.blogspot.com/" TargetMode="External"/><Relationship Id="rId1358" Type="http://schemas.openxmlformats.org/officeDocument/2006/relationships/hyperlink" Target="https://twitter.com/espana_karmen/status/1070446604954554368" TargetMode="External"/><Relationship Id="rId1565" Type="http://schemas.openxmlformats.org/officeDocument/2006/relationships/hyperlink" Target="https://pbs.twimg.com/media/DtrYVnfWwAEjToe.jpg" TargetMode="External"/><Relationship Id="rId1772" Type="http://schemas.openxmlformats.org/officeDocument/2006/relationships/hyperlink" Target="http://www.europapress.es/" TargetMode="External"/><Relationship Id="rId2311" Type="http://schemas.openxmlformats.org/officeDocument/2006/relationships/hyperlink" Target="http://listas.20minutos.es/otros/" TargetMode="External"/><Relationship Id="rId2409" Type="http://schemas.openxmlformats.org/officeDocument/2006/relationships/hyperlink" Target="http://www.trecetv.es/programas/el-cascabel" TargetMode="External"/><Relationship Id="rId2616" Type="http://schemas.openxmlformats.org/officeDocument/2006/relationships/hyperlink" Target="https://pbs.twimg.com/media/Dtk0NsIW4AAi3U-.jpg" TargetMode="External"/><Relationship Id="rId64" Type="http://schemas.openxmlformats.org/officeDocument/2006/relationships/hyperlink" Target="https://www.elconfidencialdigital.com/articulo/politica/albert-rivera-tiene-plan-pactar-vox-enfadar-socios-europeos/20181207212045119111.html" TargetMode="External"/><Relationship Id="rId1120" Type="http://schemas.openxmlformats.org/officeDocument/2006/relationships/hyperlink" Target="http://ciudadanos-cs.org/" TargetMode="External"/><Relationship Id="rId1218" Type="http://schemas.openxmlformats.org/officeDocument/2006/relationships/hyperlink" Target="http://shr.gs/4Yk1ljg" TargetMode="External"/><Relationship Id="rId1425" Type="http://schemas.openxmlformats.org/officeDocument/2006/relationships/hyperlink" Target="http://www.larazon.es/" TargetMode="External"/><Relationship Id="rId1632" Type="http://schemas.openxmlformats.org/officeDocument/2006/relationships/hyperlink" Target="http://www.infoheaders.com/" TargetMode="External"/><Relationship Id="rId1937" Type="http://schemas.openxmlformats.org/officeDocument/2006/relationships/hyperlink" Target="https://pbs.twimg.com/media/DtqUfvyW4AAxbKL.jpg" TargetMode="External"/><Relationship Id="rId2199" Type="http://schemas.openxmlformats.org/officeDocument/2006/relationships/hyperlink" Target="http://bit.ly/2PmHWOi" TargetMode="External"/><Relationship Id="rId280" Type="http://schemas.openxmlformats.org/officeDocument/2006/relationships/hyperlink" Target="https://www.elplural.com/autonomias/andalucia/el-futuro-de-andalucia-se-decide-en-madrid_207700102" TargetMode="External"/><Relationship Id="rId140" Type="http://schemas.openxmlformats.org/officeDocument/2006/relationships/hyperlink" Target="https://www.elconfidencialdigital.com/articulo/politica/albert-rivera-tiene-plan-pactar-vox-enfadar-socios-europeos/20181207212045119111.html?utm_medium=social&amp;utm_source=Facebook" TargetMode="External"/><Relationship Id="rId378" Type="http://schemas.openxmlformats.org/officeDocument/2006/relationships/hyperlink" Target="https://twitter.com/JavierCenit/status/1067373399809376257" TargetMode="External"/><Relationship Id="rId585" Type="http://schemas.openxmlformats.org/officeDocument/2006/relationships/hyperlink" Target="https://www.elplural.com/politica/lo-nunca-contado-de-la-intima-amistad-entre-albert-rivera-y-santiago-abascal_207666102" TargetMode="External"/><Relationship Id="rId792" Type="http://schemas.openxmlformats.org/officeDocument/2006/relationships/hyperlink" Target="http://www.telemadrid.es/ondamadrid" TargetMode="External"/><Relationship Id="rId2059" Type="http://schemas.openxmlformats.org/officeDocument/2006/relationships/hyperlink" Target="https://ift.tt/2E1boY8" TargetMode="External"/><Relationship Id="rId2266" Type="http://schemas.openxmlformats.org/officeDocument/2006/relationships/hyperlink" Target="http://www.ciudadanos-cs.org/" TargetMode="External"/><Relationship Id="rId2473" Type="http://schemas.openxmlformats.org/officeDocument/2006/relationships/hyperlink" Target="https://youtu.be/V9YYQDqha-Q?ged89=6710138506" TargetMode="External"/><Relationship Id="rId2680" Type="http://schemas.openxmlformats.org/officeDocument/2006/relationships/hyperlink" Target="https://pbs.twimg.com/media/DtkRmVSW4AEgWQ_.jpg" TargetMode="External"/><Relationship Id="rId6" Type="http://schemas.openxmlformats.org/officeDocument/2006/relationships/hyperlink" Target="http://page.is/aguilera-p-francisc" TargetMode="External"/><Relationship Id="rId238" Type="http://schemas.openxmlformats.org/officeDocument/2006/relationships/hyperlink" Target="https://www.libertaddigital.com/opinion/enrique-navarro/el-dilema-de-ciudadanos-86652/" TargetMode="External"/><Relationship Id="rId445" Type="http://schemas.openxmlformats.org/officeDocument/2006/relationships/hyperlink" Target="https://twitter.com/MailloAntonio/status/1070997685585526785" TargetMode="External"/><Relationship Id="rId652" Type="http://schemas.openxmlformats.org/officeDocument/2006/relationships/hyperlink" Target="https://pbs.twimg.com/media/Dtu-7pOWsAAAKBJ.jpg" TargetMode="External"/><Relationship Id="rId1075" Type="http://schemas.openxmlformats.org/officeDocument/2006/relationships/hyperlink" Target="https://www.20minutos.es/noticia/3508559/0/albert-rivera-defender-nuestra-constitucion/?utm_source=twitter.com&amp;utm_medium=socialshare&amp;utm_campaign=mobile_web" TargetMode="External"/><Relationship Id="rId1282" Type="http://schemas.openxmlformats.org/officeDocument/2006/relationships/hyperlink" Target="http://www.bitmomentum.com/" TargetMode="External"/><Relationship Id="rId2126" Type="http://schemas.openxmlformats.org/officeDocument/2006/relationships/hyperlink" Target="https://www.elmundo.es/espana/2018/12/05/5c07b140fc6c834c318b4680.html" TargetMode="External"/><Relationship Id="rId2333" Type="http://schemas.openxmlformats.org/officeDocument/2006/relationships/hyperlink" Target="https://pbs.twimg.com/media/Dtok2QeXgAAY-4r.jpg" TargetMode="External"/><Relationship Id="rId2540" Type="http://schemas.openxmlformats.org/officeDocument/2006/relationships/hyperlink" Target="https://www.google.com/search?q=paco%20vazquez%20y%20albert%20rivera" TargetMode="External"/><Relationship Id="rId2778" Type="http://schemas.openxmlformats.org/officeDocument/2006/relationships/hyperlink" Target="https://twitter.com/rapiqfu/status/1069826087654428672" TargetMode="External"/><Relationship Id="rId305" Type="http://schemas.openxmlformats.org/officeDocument/2006/relationships/hyperlink" Target="http://lespedresparlen.wordpress.com/" TargetMode="External"/><Relationship Id="rId512" Type="http://schemas.openxmlformats.org/officeDocument/2006/relationships/hyperlink" Target="http://www.standup2cancer.org/" TargetMode="External"/><Relationship Id="rId957" Type="http://schemas.openxmlformats.org/officeDocument/2006/relationships/hyperlink" Target="http://bit.ly/2KZbS2u" TargetMode="External"/><Relationship Id="rId1142" Type="http://schemas.openxmlformats.org/officeDocument/2006/relationships/hyperlink" Target="https://www.ciudadanos-cs.org/" TargetMode="External"/><Relationship Id="rId1587" Type="http://schemas.openxmlformats.org/officeDocument/2006/relationships/hyperlink" Target="https://www.facebook.com/EclipsePrensa/photos/a.1595701137134938/2039584146079966/?type=3&amp;permPage=1" TargetMode="External"/><Relationship Id="rId1794" Type="http://schemas.openxmlformats.org/officeDocument/2006/relationships/hyperlink" Target="https://pbs.twimg.com/media/Dtp_vkxXgAEBPCR.jpg" TargetMode="External"/><Relationship Id="rId2400" Type="http://schemas.openxmlformats.org/officeDocument/2006/relationships/hyperlink" Target="https://twitter.com/J_Zaragoza_/status/1070034582077095937" TargetMode="External"/><Relationship Id="rId2638" Type="http://schemas.openxmlformats.org/officeDocument/2006/relationships/hyperlink" Target="https://www.facebook.com/pablo.echenique/" TargetMode="External"/><Relationship Id="rId86" Type="http://schemas.openxmlformats.org/officeDocument/2006/relationships/hyperlink" Target="http://www.ciudadanos-cs.org/" TargetMode="External"/><Relationship Id="rId817" Type="http://schemas.openxmlformats.org/officeDocument/2006/relationships/hyperlink" Target="https://www.mundiario.com/articulo/politica/albert-rivera-ve-irresponsable-dejar-fuera-vox/20181205231116139867.html" TargetMode="External"/><Relationship Id="rId1002" Type="http://schemas.openxmlformats.org/officeDocument/2006/relationships/hyperlink" Target="https://itunes.apple.com/es/book/gettysburg-1863/id665369445?mt=11" TargetMode="External"/><Relationship Id="rId1447" Type="http://schemas.openxmlformats.org/officeDocument/2006/relationships/hyperlink" Target="https://twitter.com/albert_rivera/status/1070425503234961410?s=21" TargetMode="External"/><Relationship Id="rId1654" Type="http://schemas.openxmlformats.org/officeDocument/2006/relationships/hyperlink" Target="https://cronicaglobal.elespanol.com/pensamiento/andalucia-como-oportunidad_204615_102.html" TargetMode="External"/><Relationship Id="rId1861" Type="http://schemas.openxmlformats.org/officeDocument/2006/relationships/hyperlink" Target="http://www.abcdesevilla.es/" TargetMode="External"/><Relationship Id="rId2705" Type="http://schemas.openxmlformats.org/officeDocument/2006/relationships/hyperlink" Target="https://pbs.twimg.com/media/DtkFoc-X4AARAf6.jpg" TargetMode="External"/><Relationship Id="rId1307" Type="http://schemas.openxmlformats.org/officeDocument/2006/relationships/hyperlink" Target="https://twitter.com/doguionrego/status/1070467436951031808" TargetMode="External"/><Relationship Id="rId1514" Type="http://schemas.openxmlformats.org/officeDocument/2006/relationships/hyperlink" Target="https://pbs.twimg.com/media/DtrgcrxWsAEFRFP.jpg" TargetMode="External"/><Relationship Id="rId1721" Type="http://schemas.openxmlformats.org/officeDocument/2006/relationships/hyperlink" Target="http://hackdosx.blogspot.com/" TargetMode="External"/><Relationship Id="rId1959" Type="http://schemas.openxmlformats.org/officeDocument/2006/relationships/hyperlink" Target="https://pbs.twimg.com/media/Dtp_vkxXgAEBPCR.jpg" TargetMode="External"/><Relationship Id="rId13" Type="http://schemas.openxmlformats.org/officeDocument/2006/relationships/hyperlink" Target="http://somosecd.com/kk_a64" TargetMode="External"/><Relationship Id="rId1819" Type="http://schemas.openxmlformats.org/officeDocument/2006/relationships/hyperlink" Target="https://pbs.twimg.com/media/Dtqs5NNW4AAf8Iq.jpg" TargetMode="External"/><Relationship Id="rId2190" Type="http://schemas.openxmlformats.org/officeDocument/2006/relationships/hyperlink" Target="http://ramblalibre.com/2018/12/05/pedro-j-ramirez-obsesionado-contra-vox-impone-sus-criterios-a-albert-rivera/" TargetMode="External"/><Relationship Id="rId2288" Type="http://schemas.openxmlformats.org/officeDocument/2006/relationships/hyperlink" Target="http://es.linkedin.com/in/jonariz/" TargetMode="External"/><Relationship Id="rId2495" Type="http://schemas.openxmlformats.org/officeDocument/2006/relationships/hyperlink" Target="http://www.3404metros.com/" TargetMode="External"/><Relationship Id="rId162" Type="http://schemas.openxmlformats.org/officeDocument/2006/relationships/hyperlink" Target="http://www.linkedin.com/in/frubira" TargetMode="External"/><Relationship Id="rId467" Type="http://schemas.openxmlformats.org/officeDocument/2006/relationships/hyperlink" Target="http://kandpalleiro.blogspot.com/" TargetMode="External"/><Relationship Id="rId1097" Type="http://schemas.openxmlformats.org/officeDocument/2006/relationships/hyperlink" Target="http://www.rtve.es/noticias/mas-24/" TargetMode="External"/><Relationship Id="rId2050" Type="http://schemas.openxmlformats.org/officeDocument/2006/relationships/hyperlink" Target="https://instagram.com/prexievicious/" TargetMode="External"/><Relationship Id="rId2148" Type="http://schemas.openxmlformats.org/officeDocument/2006/relationships/hyperlink" Target="https://pbs.twimg.com/media/DthzK0OX4AAOHL2.jpg" TargetMode="External"/><Relationship Id="rId674" Type="http://schemas.openxmlformats.org/officeDocument/2006/relationships/hyperlink" Target="http://www.elplural.com/" TargetMode="External"/><Relationship Id="rId881" Type="http://schemas.openxmlformats.org/officeDocument/2006/relationships/hyperlink" Target="https://pbs.twimg.com/media/DtvTsJlWsAAfFD7.jpg" TargetMode="External"/><Relationship Id="rId979" Type="http://schemas.openxmlformats.org/officeDocument/2006/relationships/hyperlink" Target="https://pbs.twimg.com/media/DtqiTKCWsAIuQht.jpg" TargetMode="External"/><Relationship Id="rId2355" Type="http://schemas.openxmlformats.org/officeDocument/2006/relationships/hyperlink" Target="http://ver.20m.es/0cknh6" TargetMode="External"/><Relationship Id="rId2562" Type="http://schemas.openxmlformats.org/officeDocument/2006/relationships/hyperlink" Target="https://twitter.com/aybarrapacheco/status/1069864197675200512" TargetMode="External"/><Relationship Id="rId327" Type="http://schemas.openxmlformats.org/officeDocument/2006/relationships/hyperlink" Target="https://pbs.twimg.com/media/Dt0--aUXcAEonlF.jpg" TargetMode="External"/><Relationship Id="rId534" Type="http://schemas.openxmlformats.org/officeDocument/2006/relationships/hyperlink" Target="https://www.diaribalear.es/el-psoe-provoca-que-los-espanoles-no-confien-en-las-instituciones-para-resolver-los-problemas/" TargetMode="External"/><Relationship Id="rId741" Type="http://schemas.openxmlformats.org/officeDocument/2006/relationships/hyperlink" Target="http://pic.twitter.com/P5Iu3u0ISF" TargetMode="External"/><Relationship Id="rId839" Type="http://schemas.openxmlformats.org/officeDocument/2006/relationships/hyperlink" Target="http://www.ciudadanos-cs.org/" TargetMode="External"/><Relationship Id="rId1164" Type="http://schemas.openxmlformats.org/officeDocument/2006/relationships/hyperlink" Target="https://elpais.com/politica/2018/11/28/actualidad/1543422865_729627.html?id_externo_rsoc=TW_CC" TargetMode="External"/><Relationship Id="rId1371" Type="http://schemas.openxmlformats.org/officeDocument/2006/relationships/hyperlink" Target="https://www.google.es/amp/s/amp.20minutos.es/noticia/3508559/0/albert-rivera-defender-nuestra-constitucion/" TargetMode="External"/><Relationship Id="rId1469" Type="http://schemas.openxmlformats.org/officeDocument/2006/relationships/hyperlink" Target="http://www.bitmomentum.com/" TargetMode="External"/><Relationship Id="rId2008" Type="http://schemas.openxmlformats.org/officeDocument/2006/relationships/hyperlink" Target="http://directoalmentonjosequijadarubira.blogspot.com.es/" TargetMode="External"/><Relationship Id="rId2215" Type="http://schemas.openxmlformats.org/officeDocument/2006/relationships/hyperlink" Target="http://pic.twitter.com/gVKMl9QZxL" TargetMode="External"/><Relationship Id="rId2422" Type="http://schemas.openxmlformats.org/officeDocument/2006/relationships/hyperlink" Target="https://twitter.com/willytolerdoo/status/1069689841242263553" TargetMode="External"/><Relationship Id="rId601" Type="http://schemas.openxmlformats.org/officeDocument/2006/relationships/hyperlink" Target="http://pic.twitter.com/V6iK4Evotz" TargetMode="External"/><Relationship Id="rId1024" Type="http://schemas.openxmlformats.org/officeDocument/2006/relationships/hyperlink" Target="http://about.me/arsuaga" TargetMode="External"/><Relationship Id="rId1231" Type="http://schemas.openxmlformats.org/officeDocument/2006/relationships/hyperlink" Target="http://flip.it/zq4fuX" TargetMode="External"/><Relationship Id="rId1676" Type="http://schemas.openxmlformats.org/officeDocument/2006/relationships/hyperlink" Target="http://www.elmundo.es/espana/2018/12/05/5c07d10afc6c83de3f8b475c.html" TargetMode="External"/><Relationship Id="rId1883" Type="http://schemas.openxmlformats.org/officeDocument/2006/relationships/hyperlink" Target="https://pbs.twimg.com/media/DtqeT4cW4AUztCF.jpg" TargetMode="External"/><Relationship Id="rId2727" Type="http://schemas.openxmlformats.org/officeDocument/2006/relationships/hyperlink" Target="http://losfosfonautas.blogspot.com.es/" TargetMode="External"/><Relationship Id="rId906" Type="http://schemas.openxmlformats.org/officeDocument/2006/relationships/hyperlink" Target="https://www.elespanol.com/cultura/cine/20181206/penelope-cruz-antonio-banderas-nominados-globos-oro/358714492_0.html" TargetMode="External"/><Relationship Id="rId1329" Type="http://schemas.openxmlformats.org/officeDocument/2006/relationships/hyperlink" Target="https://wp.me/p26M0z-Ebc--" TargetMode="External"/><Relationship Id="rId1536" Type="http://schemas.openxmlformats.org/officeDocument/2006/relationships/hyperlink" Target="https://pbs.twimg.com/media/DtmSzMDX4AAmi-V.jpg" TargetMode="External"/><Relationship Id="rId1743" Type="http://schemas.openxmlformats.org/officeDocument/2006/relationships/hyperlink" Target="https://twitter.com/iellakuria/status/1070374467640197120" TargetMode="External"/><Relationship Id="rId1950" Type="http://schemas.openxmlformats.org/officeDocument/2006/relationships/hyperlink" Target="http://www.lacerca.com/noticias/espana/rivera-presidente-junta-debe-limpio-capacidad-pare-crecer-448077-1.html" TargetMode="External"/><Relationship Id="rId35" Type="http://schemas.openxmlformats.org/officeDocument/2006/relationships/hyperlink" Target="https://blogs.elconfidencial.com/espana/notebook/2018-12-08/vox-albert-rivera-pactos-andalucia-centro-europeista_1692818/" TargetMode="External"/><Relationship Id="rId1603" Type="http://schemas.openxmlformats.org/officeDocument/2006/relationships/hyperlink" Target="https://youtu.be/C4hpa5dCKAo" TargetMode="External"/><Relationship Id="rId1810" Type="http://schemas.openxmlformats.org/officeDocument/2006/relationships/hyperlink" Target="https://www.facebook.com/groups/188327201920251/" TargetMode="External"/><Relationship Id="rId184" Type="http://schemas.openxmlformats.org/officeDocument/2006/relationships/hyperlink" Target="https://twitter.com/thecentenator/status/1070371737093713926" TargetMode="External"/><Relationship Id="rId391" Type="http://schemas.openxmlformats.org/officeDocument/2006/relationships/hyperlink" Target="http://www.hazteoir.org/" TargetMode="External"/><Relationship Id="rId1908" Type="http://schemas.openxmlformats.org/officeDocument/2006/relationships/hyperlink" Target="https://www.cope.es/n/304460" TargetMode="External"/><Relationship Id="rId2072" Type="http://schemas.openxmlformats.org/officeDocument/2006/relationships/hyperlink" Target="https://www.20minutos.es/" TargetMode="External"/><Relationship Id="rId251" Type="http://schemas.openxmlformats.org/officeDocument/2006/relationships/hyperlink" Target="https://www.elplural.com/politica/lo-nunca-contado-de-la-intima-amistad-entre-albert-rivera-y-santiago-abascal_207666102" TargetMode="External"/><Relationship Id="rId489" Type="http://schemas.openxmlformats.org/officeDocument/2006/relationships/hyperlink" Target="https://pbs.twimg.com/media/Dtze-opU8AAGtmU.jpg" TargetMode="External"/><Relationship Id="rId696" Type="http://schemas.openxmlformats.org/officeDocument/2006/relationships/hyperlink" Target="https://twitter.com/arturelpayaso2/status/1070626621999251456" TargetMode="External"/><Relationship Id="rId2377" Type="http://schemas.openxmlformats.org/officeDocument/2006/relationships/hyperlink" Target="http://pic.twitter.com/Pw0KDSKqyF" TargetMode="External"/><Relationship Id="rId2584" Type="http://schemas.openxmlformats.org/officeDocument/2006/relationships/hyperlink" Target="https://pbs.twimg.com/media/Dtk6SIBWsAAgcIZ.jpg" TargetMode="External"/><Relationship Id="rId2791" Type="http://schemas.openxmlformats.org/officeDocument/2006/relationships/hyperlink" Target="https://elpais.com/politica/2018/12/03/actualidad/1543866256_343219.html" TargetMode="External"/><Relationship Id="rId349" Type="http://schemas.openxmlformats.org/officeDocument/2006/relationships/hyperlink" Target="https://pbs.twimg.com/media/Dt0WDDSWwAIKA2t.jpg" TargetMode="External"/><Relationship Id="rId556" Type="http://schemas.openxmlformats.org/officeDocument/2006/relationships/hyperlink" Target="https://twitter.com/trendinaliaES/timelines/1070923028555431936" TargetMode="External"/><Relationship Id="rId763" Type="http://schemas.openxmlformats.org/officeDocument/2006/relationships/hyperlink" Target="https://elvariscaso.wordpress.com/" TargetMode="External"/><Relationship Id="rId1186" Type="http://schemas.openxmlformats.org/officeDocument/2006/relationships/hyperlink" Target="http://www.lavozdegalicia.es/noticia/espana/2018/12/05/medio-centenar-alumnosboicotean-acto-sobre-constitucion-intervienen-arrimadas-rivera-valls/00031544034562786616282.htm" TargetMode="External"/><Relationship Id="rId1393" Type="http://schemas.openxmlformats.org/officeDocument/2006/relationships/hyperlink" Target="http://www.theimpertinent.com/" TargetMode="External"/><Relationship Id="rId2237" Type="http://schemas.openxmlformats.org/officeDocument/2006/relationships/hyperlink" Target="http://www.fuengirolatv.com/" TargetMode="External"/><Relationship Id="rId2444" Type="http://schemas.openxmlformats.org/officeDocument/2006/relationships/hyperlink" Target="https://www.facebook.com/groups/65828887086/" TargetMode="External"/><Relationship Id="rId111" Type="http://schemas.openxmlformats.org/officeDocument/2006/relationships/hyperlink" Target="https://blogs.elconfidencial.com/espana/notebook/2018-12-08/vox-albert-rivera-pactos-andalucia-centro-europeista_1692818/?utm_source=twitter&amp;utm_medium=social&amp;utm_campaign=BotoneraWeb" TargetMode="External"/><Relationship Id="rId209" Type="http://schemas.openxmlformats.org/officeDocument/2006/relationships/hyperlink" Target="http://tomassocio.blogspot.com.es/" TargetMode="External"/><Relationship Id="rId416" Type="http://schemas.openxmlformats.org/officeDocument/2006/relationships/hyperlink" Target="https://twitter.com/BeatrizTalegon/status/1070965058220580864" TargetMode="External"/><Relationship Id="rId970" Type="http://schemas.openxmlformats.org/officeDocument/2006/relationships/hyperlink" Target="https://www.europapress.es/nacional/noticia-albert-rivera-dice-izquierda-derecha-no-hay-enemigos-compatriotas-20181206113859.html" TargetMode="External"/><Relationship Id="rId1046" Type="http://schemas.openxmlformats.org/officeDocument/2006/relationships/hyperlink" Target="https://www.theguardian.com/commentisfree/2018/dec/06/macron-clinton-blair-backlash?CMP=Share_AndroidApp_Tweet" TargetMode="External"/><Relationship Id="rId1253" Type="http://schemas.openxmlformats.org/officeDocument/2006/relationships/hyperlink" Target="https://pbs.twimg.com/media/DtRg9pyW0AEJPz8.jpg" TargetMode="External"/><Relationship Id="rId1698" Type="http://schemas.openxmlformats.org/officeDocument/2006/relationships/hyperlink" Target="http://partidorepes.wordpress.com/" TargetMode="External"/><Relationship Id="rId2651" Type="http://schemas.openxmlformats.org/officeDocument/2006/relationships/hyperlink" Target="https://pbs.twimg.com/media/DtkgMHhW0AA3fBO.jpg" TargetMode="External"/><Relationship Id="rId2749" Type="http://schemas.openxmlformats.org/officeDocument/2006/relationships/hyperlink" Target="https://pbs.twimg.com/media/DtjwmitXQAArVSY.jpg" TargetMode="External"/><Relationship Id="rId623" Type="http://schemas.openxmlformats.org/officeDocument/2006/relationships/hyperlink" Target="http://baleares.ciudadanos-cs.org/" TargetMode="External"/><Relationship Id="rId830" Type="http://schemas.openxmlformats.org/officeDocument/2006/relationships/hyperlink" Target="http://www.ciudadanos-cs.org/" TargetMode="External"/><Relationship Id="rId928" Type="http://schemas.openxmlformats.org/officeDocument/2006/relationships/hyperlink" Target="http://eldiario.es/" TargetMode="External"/><Relationship Id="rId1460" Type="http://schemas.openxmlformats.org/officeDocument/2006/relationships/hyperlink" Target="http://pic.twitter.com/0xEXOCNFMU" TargetMode="External"/><Relationship Id="rId1558" Type="http://schemas.openxmlformats.org/officeDocument/2006/relationships/hyperlink" Target="https://pbs.twimg.com/media/DtraBL7XgAYlCvk.jpg" TargetMode="External"/><Relationship Id="rId1765" Type="http://schemas.openxmlformats.org/officeDocument/2006/relationships/hyperlink" Target="https://pbs.twimg.com/media/Dtq4AFMXQAAzOS9.jpg" TargetMode="External"/><Relationship Id="rId2304" Type="http://schemas.openxmlformats.org/officeDocument/2006/relationships/hyperlink" Target="https://m.diariodesevilla.es/andalucia/elecciones_andalucia/ciudadanos-psoe-adelante-andalucia-pacto_0_1306069689.html" TargetMode="External"/><Relationship Id="rId2511" Type="http://schemas.openxmlformats.org/officeDocument/2006/relationships/hyperlink" Target="http://www.lacerca.com/noticias/espana/arrimadas-escrache-valls-utiliza-intimidar-piensa-atacando-democracia-447934-1.html" TargetMode="External"/><Relationship Id="rId2609" Type="http://schemas.openxmlformats.org/officeDocument/2006/relationships/hyperlink" Target="https://twitter.com/Llorandingdong/status/1069922645372751877" TargetMode="External"/><Relationship Id="rId57" Type="http://schemas.openxmlformats.org/officeDocument/2006/relationships/hyperlink" Target="https://www.elconfidencialdigital.com/articulo/politica/albert-rivera-tiene-plan-pactar-vox-enfadar-socios-europeos/20181207212045119111.html" TargetMode="External"/><Relationship Id="rId1113" Type="http://schemas.openxmlformats.org/officeDocument/2006/relationships/hyperlink" Target="https://pbs.twimg.com/media/DtucO9TXQAAWfjP.jpg" TargetMode="External"/><Relationship Id="rId1320" Type="http://schemas.openxmlformats.org/officeDocument/2006/relationships/hyperlink" Target="https://wp.me/p26M0z-Ebc--" TargetMode="External"/><Relationship Id="rId1418" Type="http://schemas.openxmlformats.org/officeDocument/2006/relationships/hyperlink" Target="http://www.lextres.com/" TargetMode="External"/><Relationship Id="rId1972" Type="http://schemas.openxmlformats.org/officeDocument/2006/relationships/hyperlink" Target="https://twitter.com/jaimedeolano/status/1070201786047303682" TargetMode="External"/><Relationship Id="rId1625" Type="http://schemas.openxmlformats.org/officeDocument/2006/relationships/hyperlink" Target="http://www.elperiodico.com/" TargetMode="External"/><Relationship Id="rId1832" Type="http://schemas.openxmlformats.org/officeDocument/2006/relationships/hyperlink" Target="http://pic.twitter.com/w0IU2NzKCP" TargetMode="External"/><Relationship Id="rId2094" Type="http://schemas.openxmlformats.org/officeDocument/2006/relationships/hyperlink" Target="https://pbs.twimg.com/media/DtpzWJ3W0AAMLZs.jpg" TargetMode="External"/><Relationship Id="rId273" Type="http://schemas.openxmlformats.org/officeDocument/2006/relationships/hyperlink" Target="https://www.lasilenciosacat.org/" TargetMode="External"/><Relationship Id="rId480" Type="http://schemas.openxmlformats.org/officeDocument/2006/relationships/hyperlink" Target="https://innovadores.larazon.es/es/not/politizar-y-hacer-politica-erronea" TargetMode="External"/><Relationship Id="rId2161" Type="http://schemas.openxmlformats.org/officeDocument/2006/relationships/hyperlink" Target="http://www.hechosdehoy.com/" TargetMode="External"/><Relationship Id="rId2399" Type="http://schemas.openxmlformats.org/officeDocument/2006/relationships/hyperlink" Target="http://www.vilque.com/" TargetMode="External"/><Relationship Id="rId133" Type="http://schemas.openxmlformats.org/officeDocument/2006/relationships/hyperlink" Target="https://www.elconfidencialdigital.com/articulo/politica/albert-rivera-tiene-plan-pactar-vox-enfadar-socios-europeos/20181207212045119111.html" TargetMode="External"/><Relationship Id="rId340" Type="http://schemas.openxmlformats.org/officeDocument/2006/relationships/hyperlink" Target="https://www.elnacional.cat/es/politica/insolita-actitud-desafiante-rivera-manifestantes_332043_102.html" TargetMode="External"/><Relationship Id="rId578" Type="http://schemas.openxmlformats.org/officeDocument/2006/relationships/hyperlink" Target="https://pbs.twimg.com/media/DtxhmaiWoAATUUf.jpg" TargetMode="External"/><Relationship Id="rId785" Type="http://schemas.openxmlformats.org/officeDocument/2006/relationships/hyperlink" Target="http://pic.twitter.com/hNGxlsIz8P" TargetMode="External"/><Relationship Id="rId992" Type="http://schemas.openxmlformats.org/officeDocument/2006/relationships/hyperlink" Target="http://www.bitmomentum.com/" TargetMode="External"/><Relationship Id="rId2021" Type="http://schemas.openxmlformats.org/officeDocument/2006/relationships/hyperlink" Target="https://www.huffingtonpost.es/2018/12/04/el-duro-editorial-de-le-monde-que-no-gustara-ni-a-casado-ni-a-rivera-es-peligroso_a_23608193/?ncid=other_twitter_cooo9wqtham&amp;utm_campaign=share_twitter" TargetMode="External"/><Relationship Id="rId2259" Type="http://schemas.openxmlformats.org/officeDocument/2006/relationships/hyperlink" Target="http://www.citizengo.org/hazteoir/pc/167099-al-psoe-ni-agua-sr-rivera?tc=tw&amp;tcid=52532561" TargetMode="External"/><Relationship Id="rId2466" Type="http://schemas.openxmlformats.org/officeDocument/2006/relationships/hyperlink" Target="http://pic.twitter.com/ze9N4QaP3J" TargetMode="External"/><Relationship Id="rId2673" Type="http://schemas.openxmlformats.org/officeDocument/2006/relationships/hyperlink" Target="https://www.eldiario.es/politica/Vox-Andalucia-PP-Ciudadanos-estrategia_0_842366447.html" TargetMode="External"/><Relationship Id="rId200" Type="http://schemas.openxmlformats.org/officeDocument/2006/relationships/hyperlink" Target="https://www.instagram.com/emilioborrell/?hl=es" TargetMode="External"/><Relationship Id="rId438" Type="http://schemas.openxmlformats.org/officeDocument/2006/relationships/hyperlink" Target="https://twitter.com/VictorGonz54/status/1070827335484624903" TargetMode="External"/><Relationship Id="rId645" Type="http://schemas.openxmlformats.org/officeDocument/2006/relationships/hyperlink" Target="http://pic.twitter.com/HwpCZM1EMt" TargetMode="External"/><Relationship Id="rId852" Type="http://schemas.openxmlformats.org/officeDocument/2006/relationships/hyperlink" Target="http://www.multiforo.eu/" TargetMode="External"/><Relationship Id="rId1068" Type="http://schemas.openxmlformats.org/officeDocument/2006/relationships/hyperlink" Target="http://facebook.com/f.diazfran" TargetMode="External"/><Relationship Id="rId1275" Type="http://schemas.openxmlformats.org/officeDocument/2006/relationships/hyperlink" Target="http://www.bitmomentum.com/" TargetMode="External"/><Relationship Id="rId1482" Type="http://schemas.openxmlformats.org/officeDocument/2006/relationships/hyperlink" Target="https://www.youtube.com/channel/UCzAeV22GnQxwUBokDOEyb4A" TargetMode="External"/><Relationship Id="rId2119" Type="http://schemas.openxmlformats.org/officeDocument/2006/relationships/hyperlink" Target="https://www.facebook.com/ciutadans.santcugat" TargetMode="External"/><Relationship Id="rId2326" Type="http://schemas.openxmlformats.org/officeDocument/2006/relationships/hyperlink" Target="http://www.alertadigital.com/2018/12/03/la-insoportable-levedad-de-albert-rivera/" TargetMode="External"/><Relationship Id="rId2533" Type="http://schemas.openxmlformats.org/officeDocument/2006/relationships/hyperlink" Target="http://instagram.com/gonzaire_" TargetMode="External"/><Relationship Id="rId2740" Type="http://schemas.openxmlformats.org/officeDocument/2006/relationships/hyperlink" Target="http://www.alertadigital.com/2018/12/03/la-insoportable-levedad-de-albert-rivera/" TargetMode="External"/><Relationship Id="rId505" Type="http://schemas.openxmlformats.org/officeDocument/2006/relationships/hyperlink" Target="http://www.elplural.com/" TargetMode="External"/><Relationship Id="rId712" Type="http://schemas.openxmlformats.org/officeDocument/2006/relationships/hyperlink" Target="http://thefreshage.org/" TargetMode="External"/><Relationship Id="rId1135" Type="http://schemas.openxmlformats.org/officeDocument/2006/relationships/hyperlink" Target="http://www.latribunadelpaisvasco.com/" TargetMode="External"/><Relationship Id="rId1342" Type="http://schemas.openxmlformats.org/officeDocument/2006/relationships/hyperlink" Target="http://www.bitmomentum.com/" TargetMode="External"/><Relationship Id="rId1787" Type="http://schemas.openxmlformats.org/officeDocument/2006/relationships/hyperlink" Target="https://amp.europapress.es/catalunya/noticia-valls-apuesta-gran-pacto-pais-contra-populismos-rechaza-tratos-vox-20181205145815.html" TargetMode="External"/><Relationship Id="rId1994" Type="http://schemas.openxmlformats.org/officeDocument/2006/relationships/hyperlink" Target="http://redtalentoconsultoras.com/" TargetMode="External"/><Relationship Id="rId79" Type="http://schemas.openxmlformats.org/officeDocument/2006/relationships/hyperlink" Target="https://www.elplural.com/politica/lo-nunca-contado-de-la-intima-amistad-entre-albert-rivera-y-santiago-abascal_207666102" TargetMode="External"/><Relationship Id="rId1202" Type="http://schemas.openxmlformats.org/officeDocument/2006/relationships/hyperlink" Target="http://www.angelesalvarez.com/" TargetMode="External"/><Relationship Id="rId1647" Type="http://schemas.openxmlformats.org/officeDocument/2006/relationships/hyperlink" Target="http://pic.twitter.com/kR9sDMGf2c" TargetMode="External"/><Relationship Id="rId1854" Type="http://schemas.openxmlformats.org/officeDocument/2006/relationships/hyperlink" Target="https://www.facebook.com/morenoferreralcalde" TargetMode="External"/><Relationship Id="rId2600" Type="http://schemas.openxmlformats.org/officeDocument/2006/relationships/hyperlink" Target="http://bit.ly/2FY0BRd" TargetMode="External"/><Relationship Id="rId1507" Type="http://schemas.openxmlformats.org/officeDocument/2006/relationships/hyperlink" Target="http://bit.ly/1bOn9hM" TargetMode="External"/><Relationship Id="rId1714" Type="http://schemas.openxmlformats.org/officeDocument/2006/relationships/hyperlink" Target="https://pbs.twimg.com/media/DtqUUCUX4AANaaI.jpg" TargetMode="External"/><Relationship Id="rId295" Type="http://schemas.openxmlformats.org/officeDocument/2006/relationships/hyperlink" Target="https://www.vozpopuli.com/politica/TCuentas-anomalias-contabilidad-Cs-PP_0_1197780719.html" TargetMode="External"/><Relationship Id="rId1921" Type="http://schemas.openxmlformats.org/officeDocument/2006/relationships/hyperlink" Target="http://www.scrats.es/" TargetMode="External"/><Relationship Id="rId2183" Type="http://schemas.openxmlformats.org/officeDocument/2006/relationships/hyperlink" Target="http://www.hechosdehoy.com/" TargetMode="External"/><Relationship Id="rId2390" Type="http://schemas.openxmlformats.org/officeDocument/2006/relationships/hyperlink" Target="http://20minutos.es/" TargetMode="External"/><Relationship Id="rId2488" Type="http://schemas.openxmlformats.org/officeDocument/2006/relationships/hyperlink" Target="https://youtu.be/uVJ84kISjiA" TargetMode="External"/><Relationship Id="rId155" Type="http://schemas.openxmlformats.org/officeDocument/2006/relationships/hyperlink" Target="http://dlvr.it/Qt78d1" TargetMode="External"/><Relationship Id="rId362" Type="http://schemas.openxmlformats.org/officeDocument/2006/relationships/hyperlink" Target="https://www.elplural.com/politica/lo-nunca-contado-de-la-intima-amistad-entre-albert-rivera-y-santiago-abascal_207666102" TargetMode="External"/><Relationship Id="rId1297" Type="http://schemas.openxmlformats.org/officeDocument/2006/relationships/hyperlink" Target="https://okdiario.com/espana/andalucia/2018/12/05/cs-amenaza-nuevas-elecciones-andalucia-porque-no-quiere-que-popular-moreno-sea-presidente-3432237" TargetMode="External"/><Relationship Id="rId2043" Type="http://schemas.openxmlformats.org/officeDocument/2006/relationships/hyperlink" Target="https://pbs.twimg.com/media/Dtp4z68WsAAGZ2o.jpg" TargetMode="External"/><Relationship Id="rId2250" Type="http://schemas.openxmlformats.org/officeDocument/2006/relationships/hyperlink" Target="http://lettere.es/" TargetMode="External"/><Relationship Id="rId2695" Type="http://schemas.openxmlformats.org/officeDocument/2006/relationships/hyperlink" Target="https://pbs.twimg.com/media/DtkMWA_XQAAsm-c.jpg" TargetMode="External"/><Relationship Id="rId222" Type="http://schemas.openxmlformats.org/officeDocument/2006/relationships/hyperlink" Target="http://www.citizengo.org/hazteoir/pc/167099-al-psoe-ni-agua-sr-rivera?tc=tw&amp;tcid=52577396" TargetMode="External"/><Relationship Id="rId667" Type="http://schemas.openxmlformats.org/officeDocument/2006/relationships/hyperlink" Target="https://pbs.twimg.com/media/DtwlACwWoAAa_-L.jpg" TargetMode="External"/><Relationship Id="rId874" Type="http://schemas.openxmlformats.org/officeDocument/2006/relationships/hyperlink" Target="http://pic.twitter.com/jsov0IgpEt" TargetMode="External"/><Relationship Id="rId2110" Type="http://schemas.openxmlformats.org/officeDocument/2006/relationships/hyperlink" Target="http://tormenta78.com/" TargetMode="External"/><Relationship Id="rId2348" Type="http://schemas.openxmlformats.org/officeDocument/2006/relationships/hyperlink" Target="http://bit.ly/2zCtY5V" TargetMode="External"/><Relationship Id="rId2555" Type="http://schemas.openxmlformats.org/officeDocument/2006/relationships/hyperlink" Target="https://twitter.com/alonso_dm/status/1069951671453839360" TargetMode="External"/><Relationship Id="rId2762" Type="http://schemas.openxmlformats.org/officeDocument/2006/relationships/hyperlink" Target="https://twitter.com/FSerranoCastro/status/729684736965267456" TargetMode="External"/><Relationship Id="rId527" Type="http://schemas.openxmlformats.org/officeDocument/2006/relationships/hyperlink" Target="https://twitter.com/marubimo/status/1070727776725057537" TargetMode="External"/><Relationship Id="rId734" Type="http://schemas.openxmlformats.org/officeDocument/2006/relationships/hyperlink" Target="http://pic.twitter.com/0xEXOCNFMU" TargetMode="External"/><Relationship Id="rId941" Type="http://schemas.openxmlformats.org/officeDocument/2006/relationships/hyperlink" Target="http://www.bitmomentum.com/" TargetMode="External"/><Relationship Id="rId1157" Type="http://schemas.openxmlformats.org/officeDocument/2006/relationships/hyperlink" Target="http://youtu.be/Ki-nKw0krwY?a" TargetMode="External"/><Relationship Id="rId1364" Type="http://schemas.openxmlformats.org/officeDocument/2006/relationships/hyperlink" Target="https://elpais.com/politica/2018/12/05/actualidad/1544024987_048835.html" TargetMode="External"/><Relationship Id="rId1571" Type="http://schemas.openxmlformats.org/officeDocument/2006/relationships/hyperlink" Target="http://www.ciudadanos-cs.org/" TargetMode="External"/><Relationship Id="rId2208" Type="http://schemas.openxmlformats.org/officeDocument/2006/relationships/hyperlink" Target="https://www.20minutos.es/noticia/3508559/0/albert-rivera-defender-nuestra-constitucion/" TargetMode="External"/><Relationship Id="rId2415" Type="http://schemas.openxmlformats.org/officeDocument/2006/relationships/hyperlink" Target="http://www.cuatro.com/" TargetMode="External"/><Relationship Id="rId2622" Type="http://schemas.openxmlformats.org/officeDocument/2006/relationships/hyperlink" Target="http://pic.twitter.com/kQi4mkjt0G" TargetMode="External"/><Relationship Id="rId70" Type="http://schemas.openxmlformats.org/officeDocument/2006/relationships/hyperlink" Target="http://mediterraneo.diario16.com/la-mala-leche-albert-rivera-sanchismo/" TargetMode="External"/><Relationship Id="rId801" Type="http://schemas.openxmlformats.org/officeDocument/2006/relationships/hyperlink" Target="https://www.larazon.es/espana/cuidar-nuestra-constitucion-por-albert-rivera-BP20854162" TargetMode="External"/><Relationship Id="rId1017" Type="http://schemas.openxmlformats.org/officeDocument/2006/relationships/hyperlink" Target="https://pbs.twimg.com/media/Dtp_vkxXgAEBPCR.jpg" TargetMode="External"/><Relationship Id="rId1224" Type="http://schemas.openxmlformats.org/officeDocument/2006/relationships/hyperlink" Target="https://www.20minutos.es/noticia/3508559/0/albert-rivera-defender-nuestra-constitucion/" TargetMode="External"/><Relationship Id="rId1431" Type="http://schemas.openxmlformats.org/officeDocument/2006/relationships/hyperlink" Target="http://baleares.ciudadanos-cs.org/" TargetMode="External"/><Relationship Id="rId1669" Type="http://schemas.openxmlformats.org/officeDocument/2006/relationships/hyperlink" Target="http://shr.gs/cs5773P" TargetMode="External"/><Relationship Id="rId1876" Type="http://schemas.openxmlformats.org/officeDocument/2006/relationships/hyperlink" Target="http://murcia.ciudadanos-cs.org/" TargetMode="External"/><Relationship Id="rId1529" Type="http://schemas.openxmlformats.org/officeDocument/2006/relationships/hyperlink" Target="http://bit.ly/2KXEeKr" TargetMode="External"/><Relationship Id="rId1736" Type="http://schemas.openxmlformats.org/officeDocument/2006/relationships/hyperlink" Target="http://about.me/arsuaga" TargetMode="External"/><Relationship Id="rId1943" Type="http://schemas.openxmlformats.org/officeDocument/2006/relationships/hyperlink" Target="https://www.elmundo.es/elmundo/2004/02/18/espana/1077102000.html" TargetMode="External"/><Relationship Id="rId28" Type="http://schemas.openxmlformats.org/officeDocument/2006/relationships/hyperlink" Target="https://pbs.twimg.com/media/Dt5vuBWWoAELXP_.jpg" TargetMode="External"/><Relationship Id="rId1803" Type="http://schemas.openxmlformats.org/officeDocument/2006/relationships/hyperlink" Target="http://shr.gs/4Yk1ljg" TargetMode="External"/><Relationship Id="rId177" Type="http://schemas.openxmlformats.org/officeDocument/2006/relationships/hyperlink" Target="https://pbs.twimg.com/media/Dt4a0HOW0AEXlVG.jpg" TargetMode="External"/><Relationship Id="rId384" Type="http://schemas.openxmlformats.org/officeDocument/2006/relationships/hyperlink" Target="http://www.citizengo.org/hazteoir/pc/167099-al-psoe-ni-agua-sr-rivera?tc=tw&amp;tcid=52569119" TargetMode="External"/><Relationship Id="rId591" Type="http://schemas.openxmlformats.org/officeDocument/2006/relationships/hyperlink" Target="http://www.linaresnovenaprovincia.wordpress.com/" TargetMode="External"/><Relationship Id="rId2065" Type="http://schemas.openxmlformats.org/officeDocument/2006/relationships/hyperlink" Target="https://albertodejesus63.blogspot.com/2018/12/vox-es-taurino-y-lo-sabes-por-alberto.html" TargetMode="External"/><Relationship Id="rId2272" Type="http://schemas.openxmlformats.org/officeDocument/2006/relationships/hyperlink" Target="https://www.facebook.com/epe.epesimo" TargetMode="External"/><Relationship Id="rId244" Type="http://schemas.openxmlformats.org/officeDocument/2006/relationships/hyperlink" Target="http://page.is/larevuelo53" TargetMode="External"/><Relationship Id="rId689" Type="http://schemas.openxmlformats.org/officeDocument/2006/relationships/hyperlink" Target="https://youtu.be/HSwoOAA8UIs" TargetMode="External"/><Relationship Id="rId896" Type="http://schemas.openxmlformats.org/officeDocument/2006/relationships/hyperlink" Target="https://www.ciudadanos-cs.org/" TargetMode="External"/><Relationship Id="rId1081" Type="http://schemas.openxmlformats.org/officeDocument/2006/relationships/hyperlink" Target="http://www.unlimitedpower.com/" TargetMode="External"/><Relationship Id="rId2577" Type="http://schemas.openxmlformats.org/officeDocument/2006/relationships/hyperlink" Target="http://pic.twitter.com/bYQJNwPLMt" TargetMode="External"/><Relationship Id="rId2784" Type="http://schemas.openxmlformats.org/officeDocument/2006/relationships/hyperlink" Target="http://trendinalia.com/twitter-trending-topics/spain/" TargetMode="External"/><Relationship Id="rId451" Type="http://schemas.openxmlformats.org/officeDocument/2006/relationships/hyperlink" Target="http://www.citizengo.org/hazteoir/pc/167099-al-psoe-ni-agua-sr-rivera?tc=tw&amp;tcid=52566184" TargetMode="External"/><Relationship Id="rId549" Type="http://schemas.openxmlformats.org/officeDocument/2006/relationships/hyperlink" Target="https://pbs.twimg.com/media/DtzBgW1XQAAVqR3.jpg" TargetMode="External"/><Relationship Id="rId756" Type="http://schemas.openxmlformats.org/officeDocument/2006/relationships/hyperlink" Target="http://pic.twitter.com/uXSWC4xzzi" TargetMode="External"/><Relationship Id="rId1179" Type="http://schemas.openxmlformats.org/officeDocument/2006/relationships/hyperlink" Target="http://ow.ly/rw6m30mSS1V" TargetMode="External"/><Relationship Id="rId1386" Type="http://schemas.openxmlformats.org/officeDocument/2006/relationships/hyperlink" Target="http://dlvr.it/QswbPC" TargetMode="External"/><Relationship Id="rId1593" Type="http://schemas.openxmlformats.org/officeDocument/2006/relationships/hyperlink" Target="http://eclipsetvdigital.com/" TargetMode="External"/><Relationship Id="rId2132" Type="http://schemas.openxmlformats.org/officeDocument/2006/relationships/hyperlink" Target="http://www.citizengo.org/hazteoir/pc/167099-al-psoe-ni-agua-sr-rivera?tc=tw&amp;tcid=52537019" TargetMode="External"/><Relationship Id="rId2437" Type="http://schemas.openxmlformats.org/officeDocument/2006/relationships/hyperlink" Target="https://pbs.twimg.com/media/Dtjqk3JW4AIvAvO.jpg" TargetMode="External"/><Relationship Id="rId104" Type="http://schemas.openxmlformats.org/officeDocument/2006/relationships/hyperlink" Target="https://www.citizengo.org/hazteoir/pc/167099-al-psoe-ni-agua-sr-rivera" TargetMode="External"/><Relationship Id="rId311" Type="http://schemas.openxmlformats.org/officeDocument/2006/relationships/hyperlink" Target="https://twitter.com/_ju1_/status/1070822535686696965" TargetMode="External"/><Relationship Id="rId409" Type="http://schemas.openxmlformats.org/officeDocument/2006/relationships/hyperlink" Target="https://pbs.twimg.com/media/Dt0QtoHWwAAkloo.jpg" TargetMode="External"/><Relationship Id="rId963" Type="http://schemas.openxmlformats.org/officeDocument/2006/relationships/hyperlink" Target="http://www.lacerca.com/noticias/espana/rivera-gracias-constitucion-pasamos-enemigos-compatriotas-448141-1.html" TargetMode="External"/><Relationship Id="rId1039" Type="http://schemas.openxmlformats.org/officeDocument/2006/relationships/hyperlink" Target="http://www.lacerca.com/noticias/espana/albert-rivera-dice-izquierda-derecha-enemigos-sino-compatriotas-448133-1.html" TargetMode="External"/><Relationship Id="rId1246" Type="http://schemas.openxmlformats.org/officeDocument/2006/relationships/hyperlink" Target="http://www.jorgeurreta.com/" TargetMode="External"/><Relationship Id="rId1898" Type="http://schemas.openxmlformats.org/officeDocument/2006/relationships/hyperlink" Target="https://pbs.twimg.com/media/DtqbqsIWwAEklVD.jpg" TargetMode="External"/><Relationship Id="rId2644" Type="http://schemas.openxmlformats.org/officeDocument/2006/relationships/hyperlink" Target="https://pbs.twimg.com/media/DtkmnGyXQAAHSN6.jpg" TargetMode="External"/><Relationship Id="rId92" Type="http://schemas.openxmlformats.org/officeDocument/2006/relationships/hyperlink" Target="https://www.huffingtonpost.es/esther-palomera/que-diran-de-ellos-cuando-ya-no-esten_a_23611994/" TargetMode="External"/><Relationship Id="rId616" Type="http://schemas.openxmlformats.org/officeDocument/2006/relationships/hyperlink" Target="https://www.facebook.com/Seyker" TargetMode="External"/><Relationship Id="rId823" Type="http://schemas.openxmlformats.org/officeDocument/2006/relationships/hyperlink" Target="http://www.diariodecadiz.es/" TargetMode="External"/><Relationship Id="rId1453" Type="http://schemas.openxmlformats.org/officeDocument/2006/relationships/hyperlink" Target="http://pic.twitter.com/hNGxlsIz8P" TargetMode="External"/><Relationship Id="rId1660" Type="http://schemas.openxmlformats.org/officeDocument/2006/relationships/hyperlink" Target="https://pbs.twimg.com/media/DtrHtHmWoAEmlFr.jpg" TargetMode="External"/><Relationship Id="rId1758" Type="http://schemas.openxmlformats.org/officeDocument/2006/relationships/hyperlink" Target="https://pbs.twimg.com/media/DtpZYNfXcAAibph.jpg" TargetMode="External"/><Relationship Id="rId2504" Type="http://schemas.openxmlformats.org/officeDocument/2006/relationships/hyperlink" Target="http://ramonesmiranda.wordpress.com/" TargetMode="External"/><Relationship Id="rId2711" Type="http://schemas.openxmlformats.org/officeDocument/2006/relationships/hyperlink" Target="https://www.facebook.com/tece.gerardo" TargetMode="External"/><Relationship Id="rId1106" Type="http://schemas.openxmlformats.org/officeDocument/2006/relationships/hyperlink" Target="https://pbs.twimg.com/media/DtucqsTU0AAIBfw.jpg" TargetMode="External"/><Relationship Id="rId1313" Type="http://schemas.openxmlformats.org/officeDocument/2006/relationships/hyperlink" Target="https://pbs.twimg.com/media/DtsQLGYVsAY933N.jpg" TargetMode="External"/><Relationship Id="rId1520" Type="http://schemas.openxmlformats.org/officeDocument/2006/relationships/hyperlink" Target="https://ift.tt/2PmTgtF" TargetMode="External"/><Relationship Id="rId1965" Type="http://schemas.openxmlformats.org/officeDocument/2006/relationships/hyperlink" Target="http://ask.fm/raquelahs" TargetMode="External"/><Relationship Id="rId1618" Type="http://schemas.openxmlformats.org/officeDocument/2006/relationships/hyperlink" Target="https://www.ciudadanos-cs.org/" TargetMode="External"/><Relationship Id="rId1825" Type="http://schemas.openxmlformats.org/officeDocument/2006/relationships/hyperlink" Target="https://bit.ly/2E38MJd" TargetMode="External"/><Relationship Id="rId199" Type="http://schemas.openxmlformats.org/officeDocument/2006/relationships/hyperlink" Target="http://pic.twitter.com/OjsGw5g9YX" TargetMode="External"/><Relationship Id="rId2087" Type="http://schemas.openxmlformats.org/officeDocument/2006/relationships/hyperlink" Target="http://www.efe.com/" TargetMode="External"/><Relationship Id="rId2294" Type="http://schemas.openxmlformats.org/officeDocument/2006/relationships/hyperlink" Target="http://noticiarioespanol.com/" TargetMode="External"/><Relationship Id="rId266" Type="http://schemas.openxmlformats.org/officeDocument/2006/relationships/hyperlink" Target="https://www.elplural.com/politica/lo-nunca-contado-de-la-intima-amistad-entre-albert-rivera-y-santiago-abascal_207666102" TargetMode="External"/><Relationship Id="rId473" Type="http://schemas.openxmlformats.org/officeDocument/2006/relationships/hyperlink" Target="http://www.wifismart.es/" TargetMode="External"/><Relationship Id="rId680" Type="http://schemas.openxmlformats.org/officeDocument/2006/relationships/hyperlink" Target="http://pic.twitter.com/YMZ30eDBS8" TargetMode="External"/><Relationship Id="rId2154" Type="http://schemas.openxmlformats.org/officeDocument/2006/relationships/hyperlink" Target="https://twitter.com/peperoes1972/status/1069944148478869504" TargetMode="External"/><Relationship Id="rId2361" Type="http://schemas.openxmlformats.org/officeDocument/2006/relationships/hyperlink" Target="https://goo.gl/1rykpX?xzi68=906349138" TargetMode="External"/><Relationship Id="rId2599" Type="http://schemas.openxmlformats.org/officeDocument/2006/relationships/hyperlink" Target="https://www.elespanol.com/espana/politica/20181204/podemos-no-permitir-cs-gobierne-andalucia-vox/358214715_0.html" TargetMode="External"/><Relationship Id="rId126" Type="http://schemas.openxmlformats.org/officeDocument/2006/relationships/hyperlink" Target="https://youtu.be/V9YYQDqha-Q?mwy84=5143828657" TargetMode="External"/><Relationship Id="rId333" Type="http://schemas.openxmlformats.org/officeDocument/2006/relationships/hyperlink" Target="https://pbs.twimg.com/media/Dt07aI0XgAAzlIn.jpg" TargetMode="External"/><Relationship Id="rId540" Type="http://schemas.openxmlformats.org/officeDocument/2006/relationships/hyperlink" Target="http://pic.twitter.com/23HhtVGbAM" TargetMode="External"/><Relationship Id="rId778" Type="http://schemas.openxmlformats.org/officeDocument/2006/relationships/hyperlink" Target="https://www.facebook.com/446367975514588/posts/1206484952836216/" TargetMode="External"/><Relationship Id="rId985" Type="http://schemas.openxmlformats.org/officeDocument/2006/relationships/hyperlink" Target="https://elpais.com/politica/2018/11/28/actualidad/1543422865_729627.html?id_externo_rsoc=TW_CC" TargetMode="External"/><Relationship Id="rId1170" Type="http://schemas.openxmlformats.org/officeDocument/2006/relationships/hyperlink" Target="https://pbs.twimg.com/media/DtuNm1NWoAAgxRm.jpg" TargetMode="External"/><Relationship Id="rId2014" Type="http://schemas.openxmlformats.org/officeDocument/2006/relationships/hyperlink" Target="https://twitter.com/RosaMSJ2/status/1070245287837528064" TargetMode="External"/><Relationship Id="rId2221" Type="http://schemas.openxmlformats.org/officeDocument/2006/relationships/hyperlink" Target="http://jaujamanagement.blogspot.com.es/" TargetMode="External"/><Relationship Id="rId2459" Type="http://schemas.openxmlformats.org/officeDocument/2006/relationships/hyperlink" Target="http://canarias.ciudadanos-cs.org/" TargetMode="External"/><Relationship Id="rId2666" Type="http://schemas.openxmlformats.org/officeDocument/2006/relationships/hyperlink" Target="http://dlvr.it/QsnV5f" TargetMode="External"/><Relationship Id="rId638" Type="http://schemas.openxmlformats.org/officeDocument/2006/relationships/hyperlink" Target="https://pbs.twimg.com/media/Dtw1LxnXcAYjihU.jpg" TargetMode="External"/><Relationship Id="rId845" Type="http://schemas.openxmlformats.org/officeDocument/2006/relationships/hyperlink" Target="http://www.dolcacatalunya.com/" TargetMode="External"/><Relationship Id="rId1030" Type="http://schemas.openxmlformats.org/officeDocument/2006/relationships/hyperlink" Target="https://twitter.com/Albert_Rivera/status/1070425503234961410" TargetMode="External"/><Relationship Id="rId1268" Type="http://schemas.openxmlformats.org/officeDocument/2006/relationships/hyperlink" Target="http://www.bitmomentum.com/" TargetMode="External"/><Relationship Id="rId1475" Type="http://schemas.openxmlformats.org/officeDocument/2006/relationships/hyperlink" Target="https://www.elplural.com/politica/vox-exige-a-pp-y-cs-que-andalucia-deje-de-ser-una-realidad-nacional_207636102" TargetMode="External"/><Relationship Id="rId1682" Type="http://schemas.openxmlformats.org/officeDocument/2006/relationships/hyperlink" Target="http://pic.twitter.com/jRI7f20O40" TargetMode="External"/><Relationship Id="rId2319" Type="http://schemas.openxmlformats.org/officeDocument/2006/relationships/hyperlink" Target="https://www.20minutos.es/" TargetMode="External"/><Relationship Id="rId2526" Type="http://schemas.openxmlformats.org/officeDocument/2006/relationships/hyperlink" Target="https://pbs.twimg.com/media/DtltJlGXgAA3SQj.jpg" TargetMode="External"/><Relationship Id="rId2733" Type="http://schemas.openxmlformats.org/officeDocument/2006/relationships/hyperlink" Target="http://cantabria.ciudadanos-cs.org/" TargetMode="External"/><Relationship Id="rId400" Type="http://schemas.openxmlformats.org/officeDocument/2006/relationships/hyperlink" Target="http://pic.twitter.com/uWzokKZTdf" TargetMode="External"/><Relationship Id="rId705" Type="http://schemas.openxmlformats.org/officeDocument/2006/relationships/hyperlink" Target="https://www.elplural.com/politica/lo-nunca-contado-de-la-intima-amistad-entre-albert-rivera-y-santiago-abascal_207666102" TargetMode="External"/><Relationship Id="rId1128" Type="http://schemas.openxmlformats.org/officeDocument/2006/relationships/hyperlink" Target="http://www.infoheaders.com/" TargetMode="External"/><Relationship Id="rId1335" Type="http://schemas.openxmlformats.org/officeDocument/2006/relationships/hyperlink" Target="https://twitter.com/albert_rivera/status/1070425503234961410" TargetMode="External"/><Relationship Id="rId1542" Type="http://schemas.openxmlformats.org/officeDocument/2006/relationships/hyperlink" Target="https://www.elmundo.es/espana/2018/12/05/5c07d10afc6c83de3f8b475c.html" TargetMode="External"/><Relationship Id="rId1987" Type="http://schemas.openxmlformats.org/officeDocument/2006/relationships/hyperlink" Target="https://www.maximodalmau.com/" TargetMode="External"/><Relationship Id="rId912" Type="http://schemas.openxmlformats.org/officeDocument/2006/relationships/hyperlink" Target="https://www.lasexta.com/noticias/nacional/albert-rivera-pide-superar-guerracivilismo-llama-unirse-ciudadanos-psoe-afrontar-reorma-constitucional_201812065c091a4d0cf26a2d5573bc92.html" TargetMode="External"/><Relationship Id="rId1847" Type="http://schemas.openxmlformats.org/officeDocument/2006/relationships/hyperlink" Target="https://www.playgroundmag.net/now/europa-o-los-fachas-la-amnesia-disociativa-de-albert-rivera_31443293.html" TargetMode="External"/><Relationship Id="rId41" Type="http://schemas.openxmlformats.org/officeDocument/2006/relationships/hyperlink" Target="https://twitter.com/CastigadorY/status/1071406920702050304" TargetMode="External"/><Relationship Id="rId1402" Type="http://schemas.openxmlformats.org/officeDocument/2006/relationships/hyperlink" Target="https://pbs.twimg.com/media/DtrwZY4XQAIm8qD.jpg" TargetMode="External"/><Relationship Id="rId1707" Type="http://schemas.openxmlformats.org/officeDocument/2006/relationships/hyperlink" Target="https://www.huffingtonpost.es/2018/12/05/intentan-boicotear-un-acto-de-albert-rivera-en-el-liceo-al-grito-de-fuera-fascistas_a_23609607/" TargetMode="External"/><Relationship Id="rId190" Type="http://schemas.openxmlformats.org/officeDocument/2006/relationships/hyperlink" Target="https://goo.gl/LgNNqq?cqu31=8277049210" TargetMode="External"/><Relationship Id="rId288" Type="http://schemas.openxmlformats.org/officeDocument/2006/relationships/hyperlink" Target="https://twitter.com/diostuitero/status/1070703777911631874" TargetMode="External"/><Relationship Id="rId1914" Type="http://schemas.openxmlformats.org/officeDocument/2006/relationships/hyperlink" Target="https://okdiario.com/espana/2018/12/05/iglesias-plantea-ciudadanos-que-ponga-encima-mesa-acuerdo-andalucia-3430367/amp?__twitter_impression=true" TargetMode="External"/><Relationship Id="rId495" Type="http://schemas.openxmlformats.org/officeDocument/2006/relationships/hyperlink" Target="https://www.elplural.com/politica/pablo-casado-albert-rivera-santiago-abascal-vox-pacto-andalucia_207684102" TargetMode="External"/><Relationship Id="rId2176" Type="http://schemas.openxmlformats.org/officeDocument/2006/relationships/hyperlink" Target="https://pbs.twimg.com/media/DtpceRIXQAAWha5.jpg" TargetMode="External"/><Relationship Id="rId2383" Type="http://schemas.openxmlformats.org/officeDocument/2006/relationships/hyperlink" Target="http://singlesclubdetenerife.bligoo.es/" TargetMode="External"/><Relationship Id="rId2590" Type="http://schemas.openxmlformats.org/officeDocument/2006/relationships/hyperlink" Target="https://managerfc.com/capitulo-10-la-transicion-fin-de-1a-t" TargetMode="External"/><Relationship Id="rId148" Type="http://schemas.openxmlformats.org/officeDocument/2006/relationships/hyperlink" Target="https://www.elconfidencialdigital.com/articulo/politica/albert-rivera-tiene-plan-pactar-vox-enfadar-socios-europeos/20181207212045119111.html" TargetMode="External"/><Relationship Id="rId355" Type="http://schemas.openxmlformats.org/officeDocument/2006/relationships/hyperlink" Target="https://pbs.twimg.com/media/Dt0xA4lXgAAlEfl.jpg" TargetMode="External"/><Relationship Id="rId562" Type="http://schemas.openxmlformats.org/officeDocument/2006/relationships/hyperlink" Target="https://elpais.com/politica/2018/11/28/actualidad/1543422865_729627.html" TargetMode="External"/><Relationship Id="rId1192" Type="http://schemas.openxmlformats.org/officeDocument/2006/relationships/hyperlink" Target="https://noticierouniversal.com/actualidad/constitucion-40-anos-directo-albert-rivera-asegura-que-la-mejor-reforma-de-la-constitucion-es-aplicarla/" TargetMode="External"/><Relationship Id="rId2036" Type="http://schemas.openxmlformats.org/officeDocument/2006/relationships/hyperlink" Target="http://www.ciudadanos-cs.org/" TargetMode="External"/><Relationship Id="rId2243" Type="http://schemas.openxmlformats.org/officeDocument/2006/relationships/hyperlink" Target="http://dlvr.it/QsscXZ" TargetMode="External"/><Relationship Id="rId2450" Type="http://schemas.openxmlformats.org/officeDocument/2006/relationships/hyperlink" Target="http://www.alertadigital.com/2018/12/03/la-insoportable-levedad-de-albert-rivera/" TargetMode="External"/><Relationship Id="rId2688" Type="http://schemas.openxmlformats.org/officeDocument/2006/relationships/hyperlink" Target="https://pbs.twimg.com/media/DtiBQoWXcAAudHj.jpg" TargetMode="External"/><Relationship Id="rId215" Type="http://schemas.openxmlformats.org/officeDocument/2006/relationships/hyperlink" Target="http://twitch.tv/loireen" TargetMode="External"/><Relationship Id="rId422" Type="http://schemas.openxmlformats.org/officeDocument/2006/relationships/hyperlink" Target="http://www.citizengo.org/hazteoir/pc/167099-al-psoe-ni-agua-sr-rivera?tc=tw&amp;tcid=52567159" TargetMode="External"/><Relationship Id="rId867" Type="http://schemas.openxmlformats.org/officeDocument/2006/relationships/hyperlink" Target="https://pbs.twimg.com/media/DtvZremWoAAQ4kE.png" TargetMode="External"/><Relationship Id="rId1052" Type="http://schemas.openxmlformats.org/officeDocument/2006/relationships/hyperlink" Target="http://www.bitmomentum.com/" TargetMode="External"/><Relationship Id="rId1497" Type="http://schemas.openxmlformats.org/officeDocument/2006/relationships/hyperlink" Target="https://pbs.twimg.com/media/DtrklRWXQAI2yUK.jpg" TargetMode="External"/><Relationship Id="rId2103" Type="http://schemas.openxmlformats.org/officeDocument/2006/relationships/hyperlink" Target="https://federicorelimpio.com/libros/ladridos-en-la-noche/" TargetMode="External"/><Relationship Id="rId2310" Type="http://schemas.openxmlformats.org/officeDocument/2006/relationships/hyperlink" Target="https://pbs.twimg.com/media/DtoyPm_XgAA4wuk.jpg" TargetMode="External"/><Relationship Id="rId2548" Type="http://schemas.openxmlformats.org/officeDocument/2006/relationships/hyperlink" Target="https://www.europapress.es/nacional/noticia-casado-podemos-lleva-fuera-constitucion-varios-anos-nadie-dicho-nada-20181204155944.html" TargetMode="External"/><Relationship Id="rId2755" Type="http://schemas.openxmlformats.org/officeDocument/2006/relationships/hyperlink" Target="https://pbs.twimg.com/media/Dthry-CXgAIuaDv.jpg" TargetMode="External"/><Relationship Id="rId727" Type="http://schemas.openxmlformats.org/officeDocument/2006/relationships/hyperlink" Target="http://jojogape.deviantart.com/" TargetMode="External"/><Relationship Id="rId934" Type="http://schemas.openxmlformats.org/officeDocument/2006/relationships/hyperlink" Target="http://www.miguelaracil.com/" TargetMode="External"/><Relationship Id="rId1357" Type="http://schemas.openxmlformats.org/officeDocument/2006/relationships/hyperlink" Target="http://www.cope.es/murcia" TargetMode="External"/><Relationship Id="rId1564" Type="http://schemas.openxmlformats.org/officeDocument/2006/relationships/hyperlink" Target="http://instagram.com/ivanestupidov" TargetMode="External"/><Relationship Id="rId1771" Type="http://schemas.openxmlformats.org/officeDocument/2006/relationships/hyperlink" Target="http://pic.twitter.com/U4RpUh2KfU" TargetMode="External"/><Relationship Id="rId2408" Type="http://schemas.openxmlformats.org/officeDocument/2006/relationships/hyperlink" Target="https://pbs.twimg.com/media/DtmqA-bXQAAj1XL.jpg" TargetMode="External"/><Relationship Id="rId2615" Type="http://schemas.openxmlformats.org/officeDocument/2006/relationships/hyperlink" Target="http://generalmanki.blogspot.com.es/" TargetMode="External"/><Relationship Id="rId63" Type="http://schemas.openxmlformats.org/officeDocument/2006/relationships/hyperlink" Target="https://pbs.twimg.com/media/Dt5dPX4WsAAQH7_.jpg" TargetMode="External"/><Relationship Id="rId1217" Type="http://schemas.openxmlformats.org/officeDocument/2006/relationships/hyperlink" Target="http://www.elconfidencial.com/cultura/" TargetMode="External"/><Relationship Id="rId1424" Type="http://schemas.openxmlformats.org/officeDocument/2006/relationships/hyperlink" Target="https://pbs.twimg.com/media/DtrsQCeWsBcfUDW.jpg" TargetMode="External"/><Relationship Id="rId1631" Type="http://schemas.openxmlformats.org/officeDocument/2006/relationships/hyperlink" Target="https://www.lasexta.com/noticias/nacional/medio-centenar-de-estudiantes-revientan-un-acto-de-valls-y-rivera-en-barcelona-gritando-consignas-independentistas-video_201812055c0815990cf2d96fe2f99381.html" TargetMode="External"/><Relationship Id="rId1869" Type="http://schemas.openxmlformats.org/officeDocument/2006/relationships/hyperlink" Target="https://pbs.twimg.com/media/DtqiTKCWsAIuQht.jpg" TargetMode="External"/><Relationship Id="rId1729" Type="http://schemas.openxmlformats.org/officeDocument/2006/relationships/hyperlink" Target="http://www.atresmedia.com/" TargetMode="External"/><Relationship Id="rId1936" Type="http://schemas.openxmlformats.org/officeDocument/2006/relationships/hyperlink" Target="http://csur.red/rlHQ50jRRCw" TargetMode="External"/><Relationship Id="rId2198" Type="http://schemas.openxmlformats.org/officeDocument/2006/relationships/hyperlink" Target="http://cortes-valencianas.ciudadanos-cs.org/" TargetMode="External"/><Relationship Id="rId377" Type="http://schemas.openxmlformats.org/officeDocument/2006/relationships/hyperlink" Target="https://www.elespanol.com/ciencia/ecologia/20170316/201230003_0.html" TargetMode="External"/><Relationship Id="rId584" Type="http://schemas.openxmlformats.org/officeDocument/2006/relationships/hyperlink" Target="https://pbs.twimg.com/media/DtxaQ2tWwAAtvV_.jpg" TargetMode="External"/><Relationship Id="rId2058" Type="http://schemas.openxmlformats.org/officeDocument/2006/relationships/hyperlink" Target="http://acordesinformaticos.blogspot.com/" TargetMode="External"/><Relationship Id="rId2265" Type="http://schemas.openxmlformats.org/officeDocument/2006/relationships/hyperlink" Target="https://pbs.twimg.com/media/Dto_2r1XcAArhUW.jpg" TargetMode="External"/><Relationship Id="rId5" Type="http://schemas.openxmlformats.org/officeDocument/2006/relationships/hyperlink" Target="https://www.elconfidencialdigital.com/articulo/politica/albert-rivera-tiene-plan-pactar-vox-enfadar-socios-europeos/20181207212045119111.html" TargetMode="External"/><Relationship Id="rId237" Type="http://schemas.openxmlformats.org/officeDocument/2006/relationships/hyperlink" Target="https://www.finanzasparamortales.es/" TargetMode="External"/><Relationship Id="rId791" Type="http://schemas.openxmlformats.org/officeDocument/2006/relationships/hyperlink" Target="https://pbs.twimg.com/media/Dtv1VIBWoAA6Qtp.jpg" TargetMode="External"/><Relationship Id="rId889" Type="http://schemas.openxmlformats.org/officeDocument/2006/relationships/hyperlink" Target="https://www.infolibre.es/noticias/politica/2018/12/06/susana_diaz_reta_rivera_aclarar_si_ante_vox_sera_como_macron_salvini_89614_1012.html?utm_source=twitter.com&amp;utm_medium=smmshare&amp;utm_campaign=noticias&amp;rnot=1085405" TargetMode="External"/><Relationship Id="rId1074" Type="http://schemas.openxmlformats.org/officeDocument/2006/relationships/hyperlink" Target="http://www.telemadrid.es/" TargetMode="External"/><Relationship Id="rId2472" Type="http://schemas.openxmlformats.org/officeDocument/2006/relationships/hyperlink" Target="https://onlyhumansiteblog.wordpress.com/" TargetMode="External"/><Relationship Id="rId2777" Type="http://schemas.openxmlformats.org/officeDocument/2006/relationships/hyperlink" Target="http://www.citizengo.org/hazteoir/pc/167099-al-psoe-ni-agua-sr-rivera?m=5" TargetMode="External"/><Relationship Id="rId444" Type="http://schemas.openxmlformats.org/officeDocument/2006/relationships/hyperlink" Target="http://www.citizengo.org/hazteoir/pc/167099-al-psoe-ni-agua-sr-rivera?tc=tw&amp;tcid=52566360" TargetMode="External"/><Relationship Id="rId651" Type="http://schemas.openxmlformats.org/officeDocument/2006/relationships/hyperlink" Target="https://twitter.com/davalosalarcon/status/1070659305857277954" TargetMode="External"/><Relationship Id="rId749" Type="http://schemas.openxmlformats.org/officeDocument/2006/relationships/hyperlink" Target="http://www.patxibarrondo.com/" TargetMode="External"/><Relationship Id="rId1281" Type="http://schemas.openxmlformats.org/officeDocument/2006/relationships/hyperlink" Target="http://www.bitmomentum.com/" TargetMode="External"/><Relationship Id="rId1379" Type="http://schemas.openxmlformats.org/officeDocument/2006/relationships/hyperlink" Target="http://www.bitmomentum.com/" TargetMode="External"/><Relationship Id="rId1586" Type="http://schemas.openxmlformats.org/officeDocument/2006/relationships/hyperlink" Target="https://www.facebook.com/Le-Haut-Rhin-avec-Manuel-Valls-1803483146605857/" TargetMode="External"/><Relationship Id="rId2125" Type="http://schemas.openxmlformats.org/officeDocument/2006/relationships/hyperlink" Target="http://www.canalsur.es/" TargetMode="External"/><Relationship Id="rId2332" Type="http://schemas.openxmlformats.org/officeDocument/2006/relationships/hyperlink" Target="https://www.20minutos.es/noticia/3508559/0/albert-rivera-defender-nuestra-constitucion/" TargetMode="External"/><Relationship Id="rId304" Type="http://schemas.openxmlformats.org/officeDocument/2006/relationships/hyperlink" Target="https://pbs.twimg.com/media/Dt1P82WX4AA4k-L.jpg" TargetMode="External"/><Relationship Id="rId511" Type="http://schemas.openxmlformats.org/officeDocument/2006/relationships/hyperlink" Target="https://pbs.twimg.com/media/DtvxSWvWoAAz-ws.jpg" TargetMode="External"/><Relationship Id="rId609" Type="http://schemas.openxmlformats.org/officeDocument/2006/relationships/hyperlink" Target="https://pbs.twimg.com/media/DtxBD1HWoAA8YH1.jpg" TargetMode="External"/><Relationship Id="rId956" Type="http://schemas.openxmlformats.org/officeDocument/2006/relationships/hyperlink" Target="https://twitter.com/eltivipata/status/1070392104264839169" TargetMode="External"/><Relationship Id="rId1141" Type="http://schemas.openxmlformats.org/officeDocument/2006/relationships/hyperlink" Target="https://elpais.com/politica/2018/11/28/actualidad/1543422865_729627.html" TargetMode="External"/><Relationship Id="rId1239" Type="http://schemas.openxmlformats.org/officeDocument/2006/relationships/hyperlink" Target="https://www.google.es/amp/s/www.elconfidencial.com/amp/television/2018-12-05/composicion-ccma-consejeros-jxcat-erc-ciudadanos_1688914/" TargetMode="External"/><Relationship Id="rId1793" Type="http://schemas.openxmlformats.org/officeDocument/2006/relationships/hyperlink" Target="https://twitter.com/Albert_Rivera/status/1070318510604210176" TargetMode="External"/><Relationship Id="rId2637" Type="http://schemas.openxmlformats.org/officeDocument/2006/relationships/hyperlink" Target="https://www.eldiario.es/rastreador/Klux-Klan-Vox-Reconquista-Andalucia_6_842775724.html" TargetMode="External"/><Relationship Id="rId85" Type="http://schemas.openxmlformats.org/officeDocument/2006/relationships/hyperlink" Target="http://pic.twitter.com/OTdJXNEz6z" TargetMode="External"/><Relationship Id="rId816" Type="http://schemas.openxmlformats.org/officeDocument/2006/relationships/hyperlink" Target="http://www.bitmomentum.com/" TargetMode="External"/><Relationship Id="rId1001" Type="http://schemas.openxmlformats.org/officeDocument/2006/relationships/hyperlink" Target="https://pbs.twimg.com/media/DtuzYA6UUAEzeCy.jpg" TargetMode="External"/><Relationship Id="rId1446" Type="http://schemas.openxmlformats.org/officeDocument/2006/relationships/hyperlink" Target="https://www.instagram.com/juanelman/" TargetMode="External"/><Relationship Id="rId1653" Type="http://schemas.openxmlformats.org/officeDocument/2006/relationships/hyperlink" Target="http://directoalmentonjosequijadarubira.blogspot.com.es/" TargetMode="External"/><Relationship Id="rId1860" Type="http://schemas.openxmlformats.org/officeDocument/2006/relationships/hyperlink" Target="http://ow.ly/guDw30mSnih" TargetMode="External"/><Relationship Id="rId2704" Type="http://schemas.openxmlformats.org/officeDocument/2006/relationships/hyperlink" Target="http://www.lacerca.com/" TargetMode="External"/><Relationship Id="rId1306" Type="http://schemas.openxmlformats.org/officeDocument/2006/relationships/hyperlink" Target="http://www.bitmomentum.com/" TargetMode="External"/><Relationship Id="rId1513" Type="http://schemas.openxmlformats.org/officeDocument/2006/relationships/hyperlink" Target="https://pbs.twimg.com/media/DtrYVnfWwAEjToe.jpg" TargetMode="External"/><Relationship Id="rId1720" Type="http://schemas.openxmlformats.org/officeDocument/2006/relationships/hyperlink" Target="https://pbs.twimg.com/media/DtrAfMsXcAESyeT.jpg" TargetMode="External"/><Relationship Id="rId1958" Type="http://schemas.openxmlformats.org/officeDocument/2006/relationships/hyperlink" Target="https://twitter.com/Albert_Rivera/status/1070318510604210176" TargetMode="External"/><Relationship Id="rId12" Type="http://schemas.openxmlformats.org/officeDocument/2006/relationships/hyperlink" Target="https://youtu.be/V9YYQDqha-Q?hpj66=8034762085" TargetMode="External"/><Relationship Id="rId1818" Type="http://schemas.openxmlformats.org/officeDocument/2006/relationships/hyperlink" Target="http://albertmartinezc.blogspot.com.es/" TargetMode="External"/><Relationship Id="rId161" Type="http://schemas.openxmlformats.org/officeDocument/2006/relationships/hyperlink" Target="https://pbs.twimg.com/media/Dt4hdrFU8AAFP8K.jpg" TargetMode="External"/><Relationship Id="rId399" Type="http://schemas.openxmlformats.org/officeDocument/2006/relationships/hyperlink" Target="https://twitter.com/VictorGonz54/status/1070827335484624903" TargetMode="External"/><Relationship Id="rId2287" Type="http://schemas.openxmlformats.org/officeDocument/2006/relationships/hyperlink" Target="https://twitter.com/sfernandezh/status/1070223453566001152" TargetMode="External"/><Relationship Id="rId2494" Type="http://schemas.openxmlformats.org/officeDocument/2006/relationships/hyperlink" Target="http://www.multiforo.eu/" TargetMode="External"/><Relationship Id="rId259" Type="http://schemas.openxmlformats.org/officeDocument/2006/relationships/hyperlink" Target="http://pic.twitter.com/oHvdgSLBwF" TargetMode="External"/><Relationship Id="rId466" Type="http://schemas.openxmlformats.org/officeDocument/2006/relationships/hyperlink" Target="http://pic.twitter.com/mS9WeE2Ghr" TargetMode="External"/><Relationship Id="rId673" Type="http://schemas.openxmlformats.org/officeDocument/2006/relationships/hyperlink" Target="https://www.elplural.com/politica/lo-nunca-contado-de-la-intima-amistad-entre-albert-rivera-y-santiago-abascal_207666102" TargetMode="External"/><Relationship Id="rId880" Type="http://schemas.openxmlformats.org/officeDocument/2006/relationships/hyperlink" Target="https://pbs.twimg.com/media/DtvTgi2XQAEZ0bG.jpg" TargetMode="External"/><Relationship Id="rId1096" Type="http://schemas.openxmlformats.org/officeDocument/2006/relationships/hyperlink" Target="http://www.socialistasguipuzcoanos.com/legazpi" TargetMode="External"/><Relationship Id="rId2147" Type="http://schemas.openxmlformats.org/officeDocument/2006/relationships/hyperlink" Target="https://twitter.com/Ralraune/status/1069731547933233152" TargetMode="External"/><Relationship Id="rId2354" Type="http://schemas.openxmlformats.org/officeDocument/2006/relationships/hyperlink" Target="http://20minutos.es/" TargetMode="External"/><Relationship Id="rId2561" Type="http://schemas.openxmlformats.org/officeDocument/2006/relationships/hyperlink" Target="https://www.elmundo.es/espana/2018/12/04/5c068878fc6c83a0708b45aa.html" TargetMode="External"/><Relationship Id="rId119" Type="http://schemas.openxmlformats.org/officeDocument/2006/relationships/hyperlink" Target="https://pbs.twimg.com/media/Dt487-tWkAAu8iu.jpg" TargetMode="External"/><Relationship Id="rId326" Type="http://schemas.openxmlformats.org/officeDocument/2006/relationships/hyperlink" Target="http://page.is/larevuelo53" TargetMode="External"/><Relationship Id="rId533" Type="http://schemas.openxmlformats.org/officeDocument/2006/relationships/hyperlink" Target="http://cuenca.ciudadanos-cs.org/" TargetMode="External"/><Relationship Id="rId978" Type="http://schemas.openxmlformats.org/officeDocument/2006/relationships/hyperlink" Target="https://twitter.com/APP_Cortes/status/1070346348950679553" TargetMode="External"/><Relationship Id="rId1163" Type="http://schemas.openxmlformats.org/officeDocument/2006/relationships/hyperlink" Target="http://pic.twitter.com/0xEXOCNFMU" TargetMode="External"/><Relationship Id="rId1370" Type="http://schemas.openxmlformats.org/officeDocument/2006/relationships/hyperlink" Target="https://www.lavanguardia.com/politica/20181205/453377887754/ciudadanos-albert-rivera-prioriza-pacto-pp-andalucia-irresponsable-descartar-vox-santiago-abascal.html" TargetMode="External"/><Relationship Id="rId2007" Type="http://schemas.openxmlformats.org/officeDocument/2006/relationships/hyperlink" Target="http://www.citizengo.org/hazteoir/pc/167099-al-psoe-ni-agua-sr-rivera?tc=tw&amp;tcid=52541879" TargetMode="External"/><Relationship Id="rId2214" Type="http://schemas.openxmlformats.org/officeDocument/2006/relationships/hyperlink" Target="http://cenusadi.wordpress.com/" TargetMode="External"/><Relationship Id="rId2659" Type="http://schemas.openxmlformats.org/officeDocument/2006/relationships/hyperlink" Target="https://nyulangone.org/doctors/1629000849/david-a-kaufman" TargetMode="External"/><Relationship Id="rId740" Type="http://schemas.openxmlformats.org/officeDocument/2006/relationships/hyperlink" Target="http://www.bitmomentum.com/" TargetMode="External"/><Relationship Id="rId838" Type="http://schemas.openxmlformats.org/officeDocument/2006/relationships/hyperlink" Target="https://pbs.twimg.com/media/DtvhlR7WoAAEzmk.jpg" TargetMode="External"/><Relationship Id="rId1023" Type="http://schemas.openxmlformats.org/officeDocument/2006/relationships/hyperlink" Target="http://www.citizengo.org/hazteoir/pc/167099-al-psoe-ni-agua-sr-rivera?tc=tw&amp;tcid=52557687" TargetMode="External"/><Relationship Id="rId1468" Type="http://schemas.openxmlformats.org/officeDocument/2006/relationships/hyperlink" Target="http://www.bitmomentum.com/" TargetMode="External"/><Relationship Id="rId1675" Type="http://schemas.openxmlformats.org/officeDocument/2006/relationships/hyperlink" Target="https://www.lavanguardia.com/politica/20181205/453377887754/ciudadanos-albert-rivera-prioriza-pacto-pp-andalucia-irresponsable-descartar-vox-santiago-abascal.html" TargetMode="External"/><Relationship Id="rId1882" Type="http://schemas.openxmlformats.org/officeDocument/2006/relationships/hyperlink" Target="http://pisma27.wordpress.com/" TargetMode="External"/><Relationship Id="rId2421" Type="http://schemas.openxmlformats.org/officeDocument/2006/relationships/hyperlink" Target="https://pbs.twimg.com/media/DtmlSgMXgAAnGgA.jpg" TargetMode="External"/><Relationship Id="rId2519" Type="http://schemas.openxmlformats.org/officeDocument/2006/relationships/hyperlink" Target="https://www.eldiario.es/_30cfb3b1" TargetMode="External"/><Relationship Id="rId2726" Type="http://schemas.openxmlformats.org/officeDocument/2006/relationships/hyperlink" Target="https://www.cope.es/a/589578" TargetMode="External"/><Relationship Id="rId600" Type="http://schemas.openxmlformats.org/officeDocument/2006/relationships/hyperlink" Target="https://www.20minutos.es/noticia/3508559/0/albert-rivera-defender-nuestra-constitucion/?utm_source=twitter.com&amp;utm_medium=socialshare&amp;utm_campaign=mobile_web" TargetMode="External"/><Relationship Id="rId1230" Type="http://schemas.openxmlformats.org/officeDocument/2006/relationships/hyperlink" Target="http://www.facebook.com/mimaacordoba" TargetMode="External"/><Relationship Id="rId1328" Type="http://schemas.openxmlformats.org/officeDocument/2006/relationships/hyperlink" Target="http://noticiasvenezuela.org/" TargetMode="External"/><Relationship Id="rId1535" Type="http://schemas.openxmlformats.org/officeDocument/2006/relationships/hyperlink" Target="https://twitter.com/cai_nyabel/status/1070047800359088128" TargetMode="External"/><Relationship Id="rId905" Type="http://schemas.openxmlformats.org/officeDocument/2006/relationships/hyperlink" Target="http://www.heraldo.es/" TargetMode="External"/><Relationship Id="rId1742" Type="http://schemas.openxmlformats.org/officeDocument/2006/relationships/hyperlink" Target="https://blogs.publico.es/juan-carlos-monedero/2018/12/05/si-pasaron-tras-muchas-zancadillas/" TargetMode="External"/><Relationship Id="rId34" Type="http://schemas.openxmlformats.org/officeDocument/2006/relationships/hyperlink" Target="https://pbs.twimg.com/media/Dt5s3bgXgAE0qSx.png" TargetMode="External"/><Relationship Id="rId1602" Type="http://schemas.openxmlformats.org/officeDocument/2006/relationships/hyperlink" Target="https://pbs.twimg.com/media/DtrR-jJXgAEAnyE.jpg" TargetMode="External"/><Relationship Id="rId183" Type="http://schemas.openxmlformats.org/officeDocument/2006/relationships/hyperlink" Target="https://www.elconfidencialdigital.com/articulo/politica/albert-rivera-tiene-plan-pactar-vox-enfadar-socios-europeos/20181207212045119111.html" TargetMode="External"/><Relationship Id="rId390" Type="http://schemas.openxmlformats.org/officeDocument/2006/relationships/hyperlink" Target="https://www.citizengo.org/hazteoir/pc/167099-al-psoe-ni-agua-sr-rivera" TargetMode="External"/><Relationship Id="rId1907" Type="http://schemas.openxmlformats.org/officeDocument/2006/relationships/hyperlink" Target="https://www.elmundo.es/espana/2018/12/05/5c07d10afc6c83de3f8b475c.html" TargetMode="External"/><Relationship Id="rId2071" Type="http://schemas.openxmlformats.org/officeDocument/2006/relationships/hyperlink" Target="http://ver.20m.es/paddp1" TargetMode="External"/><Relationship Id="rId250" Type="http://schemas.openxmlformats.org/officeDocument/2006/relationships/hyperlink" Target="https://twitter.com/RosaMSJ2/status/1070245287837528064" TargetMode="External"/><Relationship Id="rId488" Type="http://schemas.openxmlformats.org/officeDocument/2006/relationships/hyperlink" Target="http://dlvr.it/Qt2xzw" TargetMode="External"/><Relationship Id="rId695" Type="http://schemas.openxmlformats.org/officeDocument/2006/relationships/hyperlink" Target="https://www.elplural.com/politica/lo-nunca-contado-de-la-intima-amistad-entre-albert-rivera-y-santiago-abascal_207666102" TargetMode="External"/><Relationship Id="rId2169" Type="http://schemas.openxmlformats.org/officeDocument/2006/relationships/hyperlink" Target="http://www.citizengo.org/hazteoir/pc/167099-al-psoe-ni-agua-sr-rivera?tc=wp&amp;tcid=52535048" TargetMode="External"/><Relationship Id="rId2376" Type="http://schemas.openxmlformats.org/officeDocument/2006/relationships/hyperlink" Target="http://chng.it/R49WcwhN" TargetMode="External"/><Relationship Id="rId2583" Type="http://schemas.openxmlformats.org/officeDocument/2006/relationships/hyperlink" Target="https://twitter.com/alonso_dm/status/1069951671453839360" TargetMode="External"/><Relationship Id="rId2790" Type="http://schemas.openxmlformats.org/officeDocument/2006/relationships/hyperlink" Target="http://mundiario.com/" TargetMode="External"/><Relationship Id="rId110" Type="http://schemas.openxmlformats.org/officeDocument/2006/relationships/hyperlink" Target="https://www.elplural.com/politica/lo-nunca-contado-de-la-intima-amistad-entre-albert-rivera-y-santiago-abascal_207666102" TargetMode="External"/><Relationship Id="rId348" Type="http://schemas.openxmlformats.org/officeDocument/2006/relationships/hyperlink" Target="https://www.eldiario.es/politica/Gobierno-cuestiona-PP-Ciudadanos-Junta_0_843765967.html" TargetMode="External"/><Relationship Id="rId555" Type="http://schemas.openxmlformats.org/officeDocument/2006/relationships/hyperlink" Target="https://www.ciudadanos-cs.org/" TargetMode="External"/><Relationship Id="rId762" Type="http://schemas.openxmlformats.org/officeDocument/2006/relationships/hyperlink" Target="https://pbs.twimg.com/media/Dtv84kSXcAAxauC.jpg" TargetMode="External"/><Relationship Id="rId1185" Type="http://schemas.openxmlformats.org/officeDocument/2006/relationships/hyperlink" Target="https://pbs.twimg.com/media/DtuJ3aDW0AAahbz.jpg" TargetMode="External"/><Relationship Id="rId1392" Type="http://schemas.openxmlformats.org/officeDocument/2006/relationships/hyperlink" Target="https://elpais.com/politica/2018/12/05/actualidad/1543998700_343655.html?id_externo_rsoc=TW_CC" TargetMode="External"/><Relationship Id="rId2029" Type="http://schemas.openxmlformats.org/officeDocument/2006/relationships/hyperlink" Target="https://ift.tt/2RBmp6u" TargetMode="External"/><Relationship Id="rId2236" Type="http://schemas.openxmlformats.org/officeDocument/2006/relationships/hyperlink" Target="https://pbs.twimg.com/media/DtpJ9zrU8AAKJjb.jpg" TargetMode="External"/><Relationship Id="rId2443" Type="http://schemas.openxmlformats.org/officeDocument/2006/relationships/hyperlink" Target="https://pbs.twimg.com/media/DtghbDqXQAEDzMS.jpg" TargetMode="External"/><Relationship Id="rId2650" Type="http://schemas.openxmlformats.org/officeDocument/2006/relationships/hyperlink" Target="https://twitter.com/harryelsocio/status/1069589974947901440" TargetMode="External"/><Relationship Id="rId208" Type="http://schemas.openxmlformats.org/officeDocument/2006/relationships/hyperlink" Target="https://pbs.twimg.com/media/Dt39gb_XQAA0Eoj.jpg" TargetMode="External"/><Relationship Id="rId415" Type="http://schemas.openxmlformats.org/officeDocument/2006/relationships/hyperlink" Target="http://www.voxespana.es/" TargetMode="External"/><Relationship Id="rId622" Type="http://schemas.openxmlformats.org/officeDocument/2006/relationships/hyperlink" Target="https://youtu.be/kkG_dWoUpyc" TargetMode="External"/><Relationship Id="rId1045" Type="http://schemas.openxmlformats.org/officeDocument/2006/relationships/hyperlink" Target="http://www.ciudadanos-cs.org/" TargetMode="External"/><Relationship Id="rId1252" Type="http://schemas.openxmlformats.org/officeDocument/2006/relationships/hyperlink" Target="https://twitter.com/tu_abandono/status/1068585660100030465" TargetMode="External"/><Relationship Id="rId1697" Type="http://schemas.openxmlformats.org/officeDocument/2006/relationships/hyperlink" Target="http://www.antena3.com/noticias/" TargetMode="External"/><Relationship Id="rId2303" Type="http://schemas.openxmlformats.org/officeDocument/2006/relationships/hyperlink" Target="http://www.esradio.fm/es-la-manana-de-federico/" TargetMode="External"/><Relationship Id="rId2510" Type="http://schemas.openxmlformats.org/officeDocument/2006/relationships/hyperlink" Target="http://youtu.be/3VN0ssOXhis?a" TargetMode="External"/><Relationship Id="rId2748" Type="http://schemas.openxmlformats.org/officeDocument/2006/relationships/hyperlink" Target="https://pbs.twimg.com/media/DtjwqXjW4AAjUYV.jpg" TargetMode="External"/><Relationship Id="rId927" Type="http://schemas.openxmlformats.org/officeDocument/2006/relationships/hyperlink" Target="https://twitter.com/LibTuit/lists/medios-cat-esp" TargetMode="External"/><Relationship Id="rId1112" Type="http://schemas.openxmlformats.org/officeDocument/2006/relationships/hyperlink" Target="https://www.facebook.com/rebecacg.cubero" TargetMode="External"/><Relationship Id="rId1557" Type="http://schemas.openxmlformats.org/officeDocument/2006/relationships/hyperlink" Target="http://www.elperiodico.com/es/ocio-y-cultura/" TargetMode="External"/><Relationship Id="rId1764" Type="http://schemas.openxmlformats.org/officeDocument/2006/relationships/hyperlink" Target="https://twitter.com/Rafa_Hernando/status/1070240236783972352" TargetMode="External"/><Relationship Id="rId1971" Type="http://schemas.openxmlformats.org/officeDocument/2006/relationships/hyperlink" Target="https://pbs.twimg.com/media/DtqOSkIXcAEoeey.jpg" TargetMode="External"/><Relationship Id="rId2608" Type="http://schemas.openxmlformats.org/officeDocument/2006/relationships/hyperlink" Target="http://www.ginecologiacarmona.com/" TargetMode="External"/><Relationship Id="rId56" Type="http://schemas.openxmlformats.org/officeDocument/2006/relationships/hyperlink" Target="http://www.cablenoticias.tv/" TargetMode="External"/><Relationship Id="rId1417" Type="http://schemas.openxmlformats.org/officeDocument/2006/relationships/hyperlink" Target="https://pbs.twimg.com/media/Dtruil8WoAUMkyl.jpg" TargetMode="External"/><Relationship Id="rId1624" Type="http://schemas.openxmlformats.org/officeDocument/2006/relationships/hyperlink" Target="http://elperiodi.co/lrdlg1" TargetMode="External"/><Relationship Id="rId1831" Type="http://schemas.openxmlformats.org/officeDocument/2006/relationships/hyperlink" Target="https://www.instagram.com/nachete91/" TargetMode="External"/><Relationship Id="rId1929" Type="http://schemas.openxmlformats.org/officeDocument/2006/relationships/hyperlink" Target="https://www.lavanguardia.com/politica/20181205/453377887754/ciudadanos-albert-rivera-prioriza-pacto-pp-andalucia-irresponsable-descartar-vox-santiago-abascal.html?utm_source=twitter_lv&amp;utm_medium=social" TargetMode="External"/><Relationship Id="rId2093" Type="http://schemas.openxmlformats.org/officeDocument/2006/relationships/hyperlink" Target="https://www.europapress.es/temas/albert-rivera/" TargetMode="External"/><Relationship Id="rId2398" Type="http://schemas.openxmlformats.org/officeDocument/2006/relationships/hyperlink" Target="https://goo.gl/1rykpX?wbp69=3086411422" TargetMode="External"/><Relationship Id="rId272" Type="http://schemas.openxmlformats.org/officeDocument/2006/relationships/hyperlink" Target="https://www.huffingtonpost.es/2018/12/07/el-dardo-de-bertin-osborne-a-gabriel-rufian-y-pablo-iglesias-espana-es-el-pais-con-mas-politicos-idiotas-por-metro-cuadrado_a_23611885/" TargetMode="External"/><Relationship Id="rId577" Type="http://schemas.openxmlformats.org/officeDocument/2006/relationships/hyperlink" Target="http://instagram.com/curtts" TargetMode="External"/><Relationship Id="rId2160" Type="http://schemas.openxmlformats.org/officeDocument/2006/relationships/hyperlink" Target="http://ow.ly/knzH30mS4Y5" TargetMode="External"/><Relationship Id="rId2258" Type="http://schemas.openxmlformats.org/officeDocument/2006/relationships/hyperlink" Target="https://pbs.twimg.com/media/DtpC2RiX4AAI8ef.jpg" TargetMode="External"/><Relationship Id="rId132" Type="http://schemas.openxmlformats.org/officeDocument/2006/relationships/hyperlink" Target="http://sergchesan.tumblr.com/" TargetMode="External"/><Relationship Id="rId784" Type="http://schemas.openxmlformats.org/officeDocument/2006/relationships/hyperlink" Target="https://twitter.com/Albert_Rivera/status/1070425503234961410" TargetMode="External"/><Relationship Id="rId991" Type="http://schemas.openxmlformats.org/officeDocument/2006/relationships/hyperlink" Target="http://www.aingoi.com/" TargetMode="External"/><Relationship Id="rId1067" Type="http://schemas.openxmlformats.org/officeDocument/2006/relationships/hyperlink" Target="https://pbs.twimg.com/media/DtuixeJWkAAPpNy.jpg" TargetMode="External"/><Relationship Id="rId2020" Type="http://schemas.openxmlformats.org/officeDocument/2006/relationships/hyperlink" Target="http://www.ciudadanos-cs.org/" TargetMode="External"/><Relationship Id="rId2465" Type="http://schemas.openxmlformats.org/officeDocument/2006/relationships/hyperlink" Target="https://twitter.com/ciudadanoscs/status/1069927927469522945" TargetMode="External"/><Relationship Id="rId2672" Type="http://schemas.openxmlformats.org/officeDocument/2006/relationships/hyperlink" Target="http://www.socialistasguipuzcoanos.com/legazpi" TargetMode="External"/><Relationship Id="rId437" Type="http://schemas.openxmlformats.org/officeDocument/2006/relationships/hyperlink" Target="https://pbs.twimg.com/media/Dtz97yXW4AAGQcj.jpg" TargetMode="External"/><Relationship Id="rId644" Type="http://schemas.openxmlformats.org/officeDocument/2006/relationships/hyperlink" Target="https://twitter.com/miguel_delarosa/status/1070432739042750464" TargetMode="External"/><Relationship Id="rId851" Type="http://schemas.openxmlformats.org/officeDocument/2006/relationships/hyperlink" Target="http://www.multiforo.eu/Noticias/2018/Diciembre/Diciembre_06.htm" TargetMode="External"/><Relationship Id="rId1274" Type="http://schemas.openxmlformats.org/officeDocument/2006/relationships/hyperlink" Target="http://www.bitmomentum.com/" TargetMode="External"/><Relationship Id="rId1481" Type="http://schemas.openxmlformats.org/officeDocument/2006/relationships/hyperlink" Target="http://youtu.be/DyFShYruhRc?a" TargetMode="External"/><Relationship Id="rId1579" Type="http://schemas.openxmlformats.org/officeDocument/2006/relationships/hyperlink" Target="http://jordiobon.es/" TargetMode="External"/><Relationship Id="rId2118" Type="http://schemas.openxmlformats.org/officeDocument/2006/relationships/hyperlink" Target="https://www.20minutos.es/noticia/3508559/0/albert-rivera-defender-nuestra-constitucion/?utm_source=twitter.com&amp;utm_medium=socialshare&amp;utm_campaign=mobile_amp" TargetMode="External"/><Relationship Id="rId2325" Type="http://schemas.openxmlformats.org/officeDocument/2006/relationships/hyperlink" Target="https://pbs.twimg.com/media/DtopDO4WwAM7zyF.jpg" TargetMode="External"/><Relationship Id="rId2532" Type="http://schemas.openxmlformats.org/officeDocument/2006/relationships/hyperlink" Target="https://twitter.com/Virginiapalonso/status/1069356581798715392" TargetMode="External"/><Relationship Id="rId504" Type="http://schemas.openxmlformats.org/officeDocument/2006/relationships/hyperlink" Target="https://www.elplural.com/politica/pablo-casado-albert-rivera-santiago-abascal-vox-pacto-andalucia_207684102" TargetMode="External"/><Relationship Id="rId711" Type="http://schemas.openxmlformats.org/officeDocument/2006/relationships/hyperlink" Target="https://pbs.twimg.com/media/DtwW2YAW4AIe96z.jpg" TargetMode="External"/><Relationship Id="rId949" Type="http://schemas.openxmlformats.org/officeDocument/2006/relationships/hyperlink" Target="https://www.elconfidencial.com/cultura/2018-12-06/cronica-urgente-espana-museo-cera-cabeza-rivera-broma_1678174/?utm_source=twitter&amp;utm_medium=social&amp;utm_campaign=BotoneraWeb" TargetMode="External"/><Relationship Id="rId1134" Type="http://schemas.openxmlformats.org/officeDocument/2006/relationships/hyperlink" Target="https://pbs.twimg.com/media/DtuXw9OXgAAY2qF.jpg" TargetMode="External"/><Relationship Id="rId1341" Type="http://schemas.openxmlformats.org/officeDocument/2006/relationships/hyperlink" Target="http://www.bitmomentum.com/" TargetMode="External"/><Relationship Id="rId1786" Type="http://schemas.openxmlformats.org/officeDocument/2006/relationships/hyperlink" Target="https://goo.gl/Z6Q5bm?vip77=8591913364" TargetMode="External"/><Relationship Id="rId1993" Type="http://schemas.openxmlformats.org/officeDocument/2006/relationships/hyperlink" Target="https://pbs.twimg.com/media/Dto4O05X4AI7PEB.jpg" TargetMode="External"/><Relationship Id="rId78" Type="http://schemas.openxmlformats.org/officeDocument/2006/relationships/hyperlink" Target="http://www.iqog.csic.es/es/directory/918" TargetMode="External"/><Relationship Id="rId809" Type="http://schemas.openxmlformats.org/officeDocument/2006/relationships/hyperlink" Target="https://pbs.twimg.com/media/DtvuUh0VsAAq-52.jpg" TargetMode="External"/><Relationship Id="rId1201" Type="http://schemas.openxmlformats.org/officeDocument/2006/relationships/hyperlink" Target="https://www.vozpopuli.com/_475b8988" TargetMode="External"/><Relationship Id="rId1439" Type="http://schemas.openxmlformats.org/officeDocument/2006/relationships/hyperlink" Target="https://pbs.twimg.com/media/DtrrnlVWwAIK4zq.jpg" TargetMode="External"/><Relationship Id="rId1646" Type="http://schemas.openxmlformats.org/officeDocument/2006/relationships/hyperlink" Target="http://shr.gs/4Yk1ljg" TargetMode="External"/><Relationship Id="rId1853" Type="http://schemas.openxmlformats.org/officeDocument/2006/relationships/hyperlink" Target="https://pbs.twimg.com/media/DtqmTU0WkAAPPF1.jpg" TargetMode="External"/><Relationship Id="rId1506" Type="http://schemas.openxmlformats.org/officeDocument/2006/relationships/hyperlink" Target="https://okdiario.com/espana/andalucia/2018/12/05/rivera-dispuesto-pacto-pp-sin-descartar-vox-pero-marin-presidente-3430883/amp" TargetMode="External"/><Relationship Id="rId1713" Type="http://schemas.openxmlformats.org/officeDocument/2006/relationships/hyperlink" Target="https://www.facebook.com/pages/JuntsPelS%C3%AD/1628836887393737" TargetMode="External"/><Relationship Id="rId1920" Type="http://schemas.openxmlformats.org/officeDocument/2006/relationships/hyperlink" Target="https://pbs.twimg.com/media/DtqWjgcX4AA9NYu.jpg" TargetMode="External"/><Relationship Id="rId294" Type="http://schemas.openxmlformats.org/officeDocument/2006/relationships/hyperlink" Target="http://www.qendra.es/" TargetMode="External"/><Relationship Id="rId2182" Type="http://schemas.openxmlformats.org/officeDocument/2006/relationships/hyperlink" Target="https://www.hechosdehoy.com/albert-rivera-e-ines-arrimadas-en-reunion-crucial-para-andalucia-70513.htm" TargetMode="External"/><Relationship Id="rId154" Type="http://schemas.openxmlformats.org/officeDocument/2006/relationships/hyperlink" Target="http://www.elconfidencialdigital.com/" TargetMode="External"/><Relationship Id="rId361" Type="http://schemas.openxmlformats.org/officeDocument/2006/relationships/hyperlink" Target="http://pic.twitter.com/pb5RMR4v0r" TargetMode="External"/><Relationship Id="rId599" Type="http://schemas.openxmlformats.org/officeDocument/2006/relationships/hyperlink" Target="https://www.elplural.com/politica/lo-nunca-contado-de-la-intima-amistad-entre-albert-rivera-y-santiago-abascal_207666102" TargetMode="External"/><Relationship Id="rId2042" Type="http://schemas.openxmlformats.org/officeDocument/2006/relationships/hyperlink" Target="https://twitter.com/CiudadanosCs/status/1070301053583876096" TargetMode="External"/><Relationship Id="rId2487" Type="http://schemas.openxmlformats.org/officeDocument/2006/relationships/hyperlink" Target="http://instagram.com/noquemecanso" TargetMode="External"/><Relationship Id="rId2694" Type="http://schemas.openxmlformats.org/officeDocument/2006/relationships/hyperlink" Target="http://pic.twitter.com/l0a4sj0WXl" TargetMode="External"/><Relationship Id="rId459" Type="http://schemas.openxmlformats.org/officeDocument/2006/relationships/hyperlink" Target="https://pbs.twimg.com/media/DtzwQffW4AAlrGz.jpg" TargetMode="External"/><Relationship Id="rId666" Type="http://schemas.openxmlformats.org/officeDocument/2006/relationships/hyperlink" Target="https://www.lavanguardia.com/politica/20181206/453399945627/detenido-brasil-autor-matanza-abogados-atocha.html?utm_campaign=botones_sociales&amp;utm_source=twitter&amp;utm_medium=social" TargetMode="External"/><Relationship Id="rId873" Type="http://schemas.openxmlformats.org/officeDocument/2006/relationships/hyperlink" Target="http://instagram.com/maria_quilezv/" TargetMode="External"/><Relationship Id="rId1089" Type="http://schemas.openxmlformats.org/officeDocument/2006/relationships/hyperlink" Target="https://twitter.com/CiudadanosCs/status/1070409652465270785" TargetMode="External"/><Relationship Id="rId1296" Type="http://schemas.openxmlformats.org/officeDocument/2006/relationships/hyperlink" Target="https://goo.gl/jdFGtt?dpb64=1825298385" TargetMode="External"/><Relationship Id="rId2347" Type="http://schemas.openxmlformats.org/officeDocument/2006/relationships/hyperlink" Target="https://pbs.twimg.com/media/DtmpWUJWoAATJWf.jpg" TargetMode="External"/><Relationship Id="rId2554" Type="http://schemas.openxmlformats.org/officeDocument/2006/relationships/hyperlink" Target="http://www.cronicaglobal.com/" TargetMode="External"/><Relationship Id="rId221" Type="http://schemas.openxmlformats.org/officeDocument/2006/relationships/hyperlink" Target="https://goo.gl/Z6Q5bm?acj69=4964405663" TargetMode="External"/><Relationship Id="rId319" Type="http://schemas.openxmlformats.org/officeDocument/2006/relationships/hyperlink" Target="https://www.elplural.com/politica/lo-nunca-contado-de-la-intima-amistad-entre-albert-rivera-y-santiago-abascal_207666102" TargetMode="External"/><Relationship Id="rId526" Type="http://schemas.openxmlformats.org/officeDocument/2006/relationships/hyperlink" Target="http://pic.twitter.com/alAJAKBUYS" TargetMode="External"/><Relationship Id="rId1156" Type="http://schemas.openxmlformats.org/officeDocument/2006/relationships/hyperlink" Target="http://instagram.com/inakyred" TargetMode="External"/><Relationship Id="rId1363" Type="http://schemas.openxmlformats.org/officeDocument/2006/relationships/hyperlink" Target="http://a.msn.com/01/es-es/BBQwg6d?ocid=st" TargetMode="External"/><Relationship Id="rId2207" Type="http://schemas.openxmlformats.org/officeDocument/2006/relationships/hyperlink" Target="http://pic.twitter.com/NRzUYVVo3A" TargetMode="External"/><Relationship Id="rId2761" Type="http://schemas.openxmlformats.org/officeDocument/2006/relationships/hyperlink" Target="https://www.ciudadanos-cs.org/" TargetMode="External"/><Relationship Id="rId733" Type="http://schemas.openxmlformats.org/officeDocument/2006/relationships/hyperlink" Target="https://twitter.com/JuanMarin_Cs/status/1070326961640235008" TargetMode="External"/><Relationship Id="rId940" Type="http://schemas.openxmlformats.org/officeDocument/2006/relationships/hyperlink" Target="https://www.ciudadanos-cs.org/" TargetMode="External"/><Relationship Id="rId1016" Type="http://schemas.openxmlformats.org/officeDocument/2006/relationships/hyperlink" Target="https://twitter.com/Albert_Rivera/status/1070318510604210176" TargetMode="External"/><Relationship Id="rId1570" Type="http://schemas.openxmlformats.org/officeDocument/2006/relationships/hyperlink" Target="http://pic.twitter.com/Xvdi5iZopd" TargetMode="External"/><Relationship Id="rId1668" Type="http://schemas.openxmlformats.org/officeDocument/2006/relationships/hyperlink" Target="http://www.ciudadanos-cs.org/" TargetMode="External"/><Relationship Id="rId1875" Type="http://schemas.openxmlformats.org/officeDocument/2006/relationships/hyperlink" Target="http://www.elnacional.cat/es/" TargetMode="External"/><Relationship Id="rId2414" Type="http://schemas.openxmlformats.org/officeDocument/2006/relationships/hyperlink" Target="https://pbs.twimg.com/media/DtmnMjOW0AIBASB.jpg" TargetMode="External"/><Relationship Id="rId2621" Type="http://schemas.openxmlformats.org/officeDocument/2006/relationships/hyperlink" Target="https://elmunicipio.es/2018/12/albert-rivera-desprecia-a-vox/" TargetMode="External"/><Relationship Id="rId2719" Type="http://schemas.openxmlformats.org/officeDocument/2006/relationships/hyperlink" Target="https://www.elnacional.cat/enblau/es/television/pablo-casado-albert-rivera-esta-passant-marc-giro-vestidos-iguales_331281_102.html" TargetMode="External"/><Relationship Id="rId800" Type="http://schemas.openxmlformats.org/officeDocument/2006/relationships/hyperlink" Target="https://www.facebook.com/profile.php?id=100009985785539" TargetMode="External"/><Relationship Id="rId1223" Type="http://schemas.openxmlformats.org/officeDocument/2006/relationships/hyperlink" Target="http://www.infodarte.com/" TargetMode="External"/><Relationship Id="rId1430" Type="http://schemas.openxmlformats.org/officeDocument/2006/relationships/hyperlink" Target="https://youtu.be/RTaLCxiU6KU" TargetMode="External"/><Relationship Id="rId1528" Type="http://schemas.openxmlformats.org/officeDocument/2006/relationships/hyperlink" Target="http://www.reigandschmulson.com/" TargetMode="External"/><Relationship Id="rId1735" Type="http://schemas.openxmlformats.org/officeDocument/2006/relationships/hyperlink" Target="https://pbs.twimg.com/media/Dtp_vkxXgAEBPCR.jpg" TargetMode="External"/><Relationship Id="rId1942" Type="http://schemas.openxmlformats.org/officeDocument/2006/relationships/hyperlink" Target="https://pbs.twimg.com/media/DtqR1Y8X4AAp9Fu.jpg" TargetMode="External"/><Relationship Id="rId27" Type="http://schemas.openxmlformats.org/officeDocument/2006/relationships/hyperlink" Target="https://twitter.com/perezreverte/status/1071412213108391937" TargetMode="External"/><Relationship Id="rId1802" Type="http://schemas.openxmlformats.org/officeDocument/2006/relationships/hyperlink" Target="https://pbs.twimg.com/media/DtqwvpOXgAEn-yp.jpg" TargetMode="External"/><Relationship Id="rId176" Type="http://schemas.openxmlformats.org/officeDocument/2006/relationships/hyperlink" Target="https://pbs.twimg.com/media/Dt4a7GSX4AUiOh5.jpg" TargetMode="External"/><Relationship Id="rId383" Type="http://schemas.openxmlformats.org/officeDocument/2006/relationships/hyperlink" Target="https://pbs.twimg.com/media/Dt0M4JAWkAMn1f7.jpg" TargetMode="External"/><Relationship Id="rId590" Type="http://schemas.openxmlformats.org/officeDocument/2006/relationships/hyperlink" Target="https://ift.tt/2RBQDWN" TargetMode="External"/><Relationship Id="rId2064" Type="http://schemas.openxmlformats.org/officeDocument/2006/relationships/hyperlink" Target="https://pbs.twimg.com/media/DtfO-VzV4AEZUwz.jpg" TargetMode="External"/><Relationship Id="rId2271" Type="http://schemas.openxmlformats.org/officeDocument/2006/relationships/hyperlink" Target="https://twitter.com/epesimo/status/1069506934179536896" TargetMode="External"/><Relationship Id="rId243" Type="http://schemas.openxmlformats.org/officeDocument/2006/relationships/hyperlink" Target="https://youtu.be/cQNTYvOF1x4" TargetMode="External"/><Relationship Id="rId450" Type="http://schemas.openxmlformats.org/officeDocument/2006/relationships/hyperlink" Target="http://www.citizengo.org/hazteoir/pc/167099-al-psoe-ni-agua-sr-rivera?tc=tw&amp;tcid=52566213" TargetMode="External"/><Relationship Id="rId688" Type="http://schemas.openxmlformats.org/officeDocument/2006/relationships/hyperlink" Target="https://www.youtube.com/channel/UCl-_iYBzcBZvjEoHp81MlUg" TargetMode="External"/><Relationship Id="rId895" Type="http://schemas.openxmlformats.org/officeDocument/2006/relationships/hyperlink" Target="http://pic.twitter.com/lveAuP2xLm" TargetMode="External"/><Relationship Id="rId1080" Type="http://schemas.openxmlformats.org/officeDocument/2006/relationships/hyperlink" Target="https://pbs.twimg.com/media/Dtuf_62W4AEsbpH.jpg" TargetMode="External"/><Relationship Id="rId2131" Type="http://schemas.openxmlformats.org/officeDocument/2006/relationships/hyperlink" Target="http://gestapo.cat/" TargetMode="External"/><Relationship Id="rId2369" Type="http://schemas.openxmlformats.org/officeDocument/2006/relationships/hyperlink" Target="http://www.diariodeuntranseunte.es/" TargetMode="External"/><Relationship Id="rId2576" Type="http://schemas.openxmlformats.org/officeDocument/2006/relationships/hyperlink" Target="https://lesfilsdubaron.tumblr.com/" TargetMode="External"/><Relationship Id="rId2783" Type="http://schemas.openxmlformats.org/officeDocument/2006/relationships/hyperlink" Target="https://twitter.com/trendinaliaES/timelines/1069835848982491136" TargetMode="External"/><Relationship Id="rId103" Type="http://schemas.openxmlformats.org/officeDocument/2006/relationships/hyperlink" Target="http://www.centrodemocratico.com/" TargetMode="External"/><Relationship Id="rId310" Type="http://schemas.openxmlformats.org/officeDocument/2006/relationships/hyperlink" Target="http://www.citizengo.org/hazteoir/pc/167099-al-psoe-ni-agua-sr-rivera?tc=tw&amp;tcid=52572705" TargetMode="External"/><Relationship Id="rId548" Type="http://schemas.openxmlformats.org/officeDocument/2006/relationships/hyperlink" Target="https://bit.ly/2E5h4QN" TargetMode="External"/><Relationship Id="rId755" Type="http://schemas.openxmlformats.org/officeDocument/2006/relationships/hyperlink" Target="http://www.noticias24horas.com/" TargetMode="External"/><Relationship Id="rId962" Type="http://schemas.openxmlformats.org/officeDocument/2006/relationships/hyperlink" Target="https://mobbingextenuante.blogspot.com/" TargetMode="External"/><Relationship Id="rId1178" Type="http://schemas.openxmlformats.org/officeDocument/2006/relationships/hyperlink" Target="http://www.bitmomentum.com/" TargetMode="External"/><Relationship Id="rId1385" Type="http://schemas.openxmlformats.org/officeDocument/2006/relationships/hyperlink" Target="http://elconservadordigital.wordpress.com/" TargetMode="External"/><Relationship Id="rId1592" Type="http://schemas.openxmlformats.org/officeDocument/2006/relationships/hyperlink" Target="https://pbs.twimg.com/media/DtrSYC4UwAAb2OK.jpg" TargetMode="External"/><Relationship Id="rId2229" Type="http://schemas.openxmlformats.org/officeDocument/2006/relationships/hyperlink" Target="http://www.elmundo.es/blogs/elmundo/mejoreducados" TargetMode="External"/><Relationship Id="rId2436" Type="http://schemas.openxmlformats.org/officeDocument/2006/relationships/hyperlink" Target="https://twitter.com/Bribon1970/status/1069862840327172096" TargetMode="External"/><Relationship Id="rId2643" Type="http://schemas.openxmlformats.org/officeDocument/2006/relationships/hyperlink" Target="https://www.facebook.com/pages/Ciudadanos-Pescados/921115804614055?fref=nf" TargetMode="External"/><Relationship Id="rId91" Type="http://schemas.openxmlformats.org/officeDocument/2006/relationships/hyperlink" Target="https://youtu.be/9ahQu_ZJRE4" TargetMode="External"/><Relationship Id="rId408" Type="http://schemas.openxmlformats.org/officeDocument/2006/relationships/hyperlink" Target="https://www.ciudadanos-cs.org/" TargetMode="External"/><Relationship Id="rId615" Type="http://schemas.openxmlformats.org/officeDocument/2006/relationships/hyperlink" Target="https://www.vozpopuli.com/politica/ciudadanos-presidente-moreno-bonilla-coalicion-andalucia_0_1196581452.html" TargetMode="External"/><Relationship Id="rId822" Type="http://schemas.openxmlformats.org/officeDocument/2006/relationships/hyperlink" Target="http://ddsevilla.info/l3po42" TargetMode="External"/><Relationship Id="rId1038" Type="http://schemas.openxmlformats.org/officeDocument/2006/relationships/hyperlink" Target="https://pbs.twimg.com/media/Dtuqtl8XQAEVtAi.jpg" TargetMode="External"/><Relationship Id="rId1245" Type="http://schemas.openxmlformats.org/officeDocument/2006/relationships/hyperlink" Target="https://pbs.twimg.com/media/Dttv2WPU0AAnp5p.jpg" TargetMode="External"/><Relationship Id="rId1452" Type="http://schemas.openxmlformats.org/officeDocument/2006/relationships/hyperlink" Target="http://www.ciudadanos-cs.org/" TargetMode="External"/><Relationship Id="rId1897" Type="http://schemas.openxmlformats.org/officeDocument/2006/relationships/hyperlink" Target="https://www.europapress.es/nacional/noticia-rivera-anuncia-dara-prioridad-negociar-gobierno-cambio-pp-marin-presidente-20181205133255.html" TargetMode="External"/><Relationship Id="rId2503" Type="http://schemas.openxmlformats.org/officeDocument/2006/relationships/hyperlink" Target="https://m.eldiario.es/politica/Albert-Rivera-Verhofstadt-UE-Salvini_0_818918321.html" TargetMode="External"/><Relationship Id="rId1105" Type="http://schemas.openxmlformats.org/officeDocument/2006/relationships/hyperlink" Target="http://www.rtve.es/noticias/mas-24/" TargetMode="External"/><Relationship Id="rId1312" Type="http://schemas.openxmlformats.org/officeDocument/2006/relationships/hyperlink" Target="http://dlvr.it/QswxSY" TargetMode="External"/><Relationship Id="rId1757" Type="http://schemas.openxmlformats.org/officeDocument/2006/relationships/hyperlink" Target="http://www.trecetv.es/programas/al-dia" TargetMode="External"/><Relationship Id="rId1964" Type="http://schemas.openxmlformats.org/officeDocument/2006/relationships/hyperlink" Target="https://www.ciudadanos-cs.org/" TargetMode="External"/><Relationship Id="rId2710" Type="http://schemas.openxmlformats.org/officeDocument/2006/relationships/hyperlink" Target="https://twitter.com/Fransor528" TargetMode="External"/><Relationship Id="rId49" Type="http://schemas.openxmlformats.org/officeDocument/2006/relationships/hyperlink" Target="https://twitter.com/Yo_Soy_Asin/status/1071371538463629312" TargetMode="External"/><Relationship Id="rId1617" Type="http://schemas.openxmlformats.org/officeDocument/2006/relationships/hyperlink" Target="http://pic.twitter.com/UFO8o49QBS" TargetMode="External"/><Relationship Id="rId1824" Type="http://schemas.openxmlformats.org/officeDocument/2006/relationships/hyperlink" Target="https://pbs.twimg.com/media/DtqsXB5WwAEyknp.jpg" TargetMode="External"/><Relationship Id="rId198" Type="http://schemas.openxmlformats.org/officeDocument/2006/relationships/hyperlink" Target="https://twitter.com/PadMediaFiles/status/1070829206676914176" TargetMode="External"/><Relationship Id="rId2086" Type="http://schemas.openxmlformats.org/officeDocument/2006/relationships/hyperlink" Target="https://www.facebook.com/pages/Ciudadanos-Pescados/921115804614055?fref=nf" TargetMode="External"/><Relationship Id="rId2293" Type="http://schemas.openxmlformats.org/officeDocument/2006/relationships/hyperlink" Target="https://pbs.twimg.com/media/DtotzRfWwAAN266.jpg" TargetMode="External"/><Relationship Id="rId2598" Type="http://schemas.openxmlformats.org/officeDocument/2006/relationships/hyperlink" Target="https://pbs.twimg.com/media/Dtk7r-2XcAAZQoj.jpg" TargetMode="External"/><Relationship Id="rId265" Type="http://schemas.openxmlformats.org/officeDocument/2006/relationships/hyperlink" Target="http://enrique2311.wordpress.com/" TargetMode="External"/><Relationship Id="rId472" Type="http://schemas.openxmlformats.org/officeDocument/2006/relationships/hyperlink" Target="http://www.citizengo.org/hazteoir/pc/167099-al-psoe-ni-agua-sr-rivera?tc=tw&amp;tcid=52565189" TargetMode="External"/><Relationship Id="rId2153" Type="http://schemas.openxmlformats.org/officeDocument/2006/relationships/hyperlink" Target="http://www.cosasdeunabailarina.es/" TargetMode="External"/><Relationship Id="rId2360" Type="http://schemas.openxmlformats.org/officeDocument/2006/relationships/hyperlink" Target="https://pbs.twimg.com/media/Dtnv9dFVsAALpDf.jpg" TargetMode="External"/><Relationship Id="rId125" Type="http://schemas.openxmlformats.org/officeDocument/2006/relationships/hyperlink" Target="https://www.facebook.com/pages/Ciudadanos-Pescados/921115804614055?fref=nf" TargetMode="External"/><Relationship Id="rId332" Type="http://schemas.openxmlformats.org/officeDocument/2006/relationships/hyperlink" Target="https://www.businessinsider.es/esta-es-receta-que-ayuda-luchar-corrupcion-dentro-empresas-segun-dos-ejecutivas-espanolas-334381?utm_source=Twitter&amp;utm_medium=referral&amp;utm_campaign=Botones_sociales" TargetMode="External"/><Relationship Id="rId777" Type="http://schemas.openxmlformats.org/officeDocument/2006/relationships/hyperlink" Target="https://www.ciudadanos-cs.org/" TargetMode="External"/><Relationship Id="rId984" Type="http://schemas.openxmlformats.org/officeDocument/2006/relationships/hyperlink" Target="http://pic.twitter.com/iI5y6UxSuX" TargetMode="External"/><Relationship Id="rId2013" Type="http://schemas.openxmlformats.org/officeDocument/2006/relationships/hyperlink" Target="https://thenewsatyourfingertips.wordpress.com/2018/12/05/albert-rivera-priorizara-negociar-con-el-pp-en-andalucia-y-no-descarta-que-vox-entre-en-el-gobierno/" TargetMode="External"/><Relationship Id="rId2220" Type="http://schemas.openxmlformats.org/officeDocument/2006/relationships/hyperlink" Target="https://www.facebook.com/1124416594/posts/10212756514604099/" TargetMode="External"/><Relationship Id="rId2458" Type="http://schemas.openxmlformats.org/officeDocument/2006/relationships/hyperlink" Target="https://eldia.es/nacional/2018-12-03/23-Rivera-dice-Sanchez-andaluces-dan-espalda-alianza-independentistas.htm" TargetMode="External"/><Relationship Id="rId2665" Type="http://schemas.openxmlformats.org/officeDocument/2006/relationships/hyperlink" Target="https://pbs.twimg.com/media/DtkYIabUwAUKtDy.jpg" TargetMode="External"/><Relationship Id="rId637" Type="http://schemas.openxmlformats.org/officeDocument/2006/relationships/hyperlink" Target="http://page.is/francisco-flores" TargetMode="External"/><Relationship Id="rId844" Type="http://schemas.openxmlformats.org/officeDocument/2006/relationships/hyperlink" Target="https://www.dolcacatalunya.com/2018/12/que-hace-cs-repartiendose-los-asientos-en-tv3-con-el-separatismo/" TargetMode="External"/><Relationship Id="rId1267" Type="http://schemas.openxmlformats.org/officeDocument/2006/relationships/hyperlink" Target="http://www.sergiocases-artstudio.com/" TargetMode="External"/><Relationship Id="rId1474" Type="http://schemas.openxmlformats.org/officeDocument/2006/relationships/hyperlink" Target="http://sieteislasunsolopueblo.blogspot.com/" TargetMode="External"/><Relationship Id="rId1681" Type="http://schemas.openxmlformats.org/officeDocument/2006/relationships/hyperlink" Target="http://liverdades.com/" TargetMode="External"/><Relationship Id="rId2318" Type="http://schemas.openxmlformats.org/officeDocument/2006/relationships/hyperlink" Target="https://pbs.twimg.com/media/DtotzRfWwAAN266.jpg" TargetMode="External"/><Relationship Id="rId2525" Type="http://schemas.openxmlformats.org/officeDocument/2006/relationships/hyperlink" Target="https://www.libertaddigital.com/espana/2018-12-04/grupos-separatistas-revientan-un-acto-de-manuel-valls-en-barcelona-1276629339/" TargetMode="External"/><Relationship Id="rId2732" Type="http://schemas.openxmlformats.org/officeDocument/2006/relationships/hyperlink" Target="http://pic.twitter.com/hNak6AtrLd" TargetMode="External"/><Relationship Id="rId704" Type="http://schemas.openxmlformats.org/officeDocument/2006/relationships/hyperlink" Target="https://www.lasexta.com/noticias/nacional/albert-rivera-pide-superar-guerracivilismo-llama-unirse-ciudadanos-psoe-afrontar-reorma-constitucional_201812065c091a4d0cf26a2d5573bc92.html" TargetMode="External"/><Relationship Id="rId911" Type="http://schemas.openxmlformats.org/officeDocument/2006/relationships/hyperlink" Target="http://page.is/aguilera-p-francisc" TargetMode="External"/><Relationship Id="rId1127" Type="http://schemas.openxmlformats.org/officeDocument/2006/relationships/hyperlink" Target="https://www.lavanguardia.com/vida/20181205/453382009957/pablo-iglesias-albert-rivera-joan-tarda-y-ana-oramas-pugnaran-por-el-premio-al-mejor-orador-del-parlamento.html" TargetMode="External"/><Relationship Id="rId1334" Type="http://schemas.openxmlformats.org/officeDocument/2006/relationships/hyperlink" Target="https://pbs.twimg.com/media/DtsFKgnWsAAI-SO.jpg" TargetMode="External"/><Relationship Id="rId1541" Type="http://schemas.openxmlformats.org/officeDocument/2006/relationships/hyperlink" Target="https://twitter.com/Albert_Rivera/status/1070389685795598337/video/1" TargetMode="External"/><Relationship Id="rId1779" Type="http://schemas.openxmlformats.org/officeDocument/2006/relationships/hyperlink" Target="https://pbs.twimg.com/media/Dtq2eEiW0AAIX05.jpg" TargetMode="External"/><Relationship Id="rId1986" Type="http://schemas.openxmlformats.org/officeDocument/2006/relationships/hyperlink" Target="http://about.me/albert_nevado" TargetMode="External"/><Relationship Id="rId40" Type="http://schemas.openxmlformats.org/officeDocument/2006/relationships/hyperlink" Target="http://www.informepicazo.blogspot.com/" TargetMode="External"/><Relationship Id="rId1401" Type="http://schemas.openxmlformats.org/officeDocument/2006/relationships/hyperlink" Target="http://www.lacerca.com/" TargetMode="External"/><Relationship Id="rId1639" Type="http://schemas.openxmlformats.org/officeDocument/2006/relationships/hyperlink" Target="http://www.lasexta.com/noticias/" TargetMode="External"/><Relationship Id="rId1846" Type="http://schemas.openxmlformats.org/officeDocument/2006/relationships/hyperlink" Target="http://allsetic.com/" TargetMode="External"/><Relationship Id="rId1706" Type="http://schemas.openxmlformats.org/officeDocument/2006/relationships/hyperlink" Target="https://www.facebook.com/pages/JuntsPelS%C3%AD/1628836887393737" TargetMode="External"/><Relationship Id="rId1913" Type="http://schemas.openxmlformats.org/officeDocument/2006/relationships/hyperlink" Target="https://www.larazon.es/carrusel-de-noticias" TargetMode="External"/><Relationship Id="rId287" Type="http://schemas.openxmlformats.org/officeDocument/2006/relationships/hyperlink" Target="https://pbs.twimg.com/media/Dt1gdhcW4AAp5XN.jpg" TargetMode="External"/><Relationship Id="rId494" Type="http://schemas.openxmlformats.org/officeDocument/2006/relationships/hyperlink" Target="https://www.ciudadanos-cs.org/" TargetMode="External"/><Relationship Id="rId2175" Type="http://schemas.openxmlformats.org/officeDocument/2006/relationships/hyperlink" Target="https://www.20minutos.es/noticia/3508559/0/albert-rivera-defender-nuestra-constitucion/" TargetMode="External"/><Relationship Id="rId2382" Type="http://schemas.openxmlformats.org/officeDocument/2006/relationships/hyperlink" Target="http://www.alertadigital.com/2018/12/03/la-insoportable-levedad-de-albert-rivera/?fbclid=IwAR1DGpHVyedoglyrvCaWoe7fPw2rmcAqVT03WxQZDvD2V8TPVZ_2oMBRL8g" TargetMode="External"/><Relationship Id="rId147" Type="http://schemas.openxmlformats.org/officeDocument/2006/relationships/hyperlink" Target="https://blogs.elconfidencial.com/espana/notebook/2018-12-08/vox-albert-rivera-pactos-andalucia-centro-europeista_1692818/" TargetMode="External"/><Relationship Id="rId354" Type="http://schemas.openxmlformats.org/officeDocument/2006/relationships/hyperlink" Target="http://pic.twitter.com/ghv8K91e7l" TargetMode="External"/><Relationship Id="rId799" Type="http://schemas.openxmlformats.org/officeDocument/2006/relationships/hyperlink" Target="https://www.larazon.es/espana/cuidar-nuestra-constitucion-por-albert-rivera-BP20854162" TargetMode="External"/><Relationship Id="rId1191" Type="http://schemas.openxmlformats.org/officeDocument/2006/relationships/hyperlink" Target="https://okdiario.com/espana/2018/12/05/iglesias-plantea-ciudadanos-que-ponga-encima-mesa-acuerdo-andalucia-3430367/amp?__twitter_impression=true" TargetMode="External"/><Relationship Id="rId2035" Type="http://schemas.openxmlformats.org/officeDocument/2006/relationships/hyperlink" Target="https://pbs.twimg.com/media/Dtp5SugW0AAX33O.jpg" TargetMode="External"/><Relationship Id="rId2687" Type="http://schemas.openxmlformats.org/officeDocument/2006/relationships/hyperlink" Target="https://twitter.com/GirautaOficial/status/1069747039527940096" TargetMode="External"/><Relationship Id="rId561" Type="http://schemas.openxmlformats.org/officeDocument/2006/relationships/hyperlink" Target="https://goo.gl/ZAe9Dj?gny51=7279560204" TargetMode="External"/><Relationship Id="rId659" Type="http://schemas.openxmlformats.org/officeDocument/2006/relationships/hyperlink" Target="https://twitter.com/miquelgimenezg1/status/1070377128636637184" TargetMode="External"/><Relationship Id="rId866" Type="http://schemas.openxmlformats.org/officeDocument/2006/relationships/hyperlink" Target="https://pbs.twimg.com/media/DtvZKAqX4AAPyUO.jpg" TargetMode="External"/><Relationship Id="rId1289" Type="http://schemas.openxmlformats.org/officeDocument/2006/relationships/hyperlink" Target="https://www.facebook.com/epe.epesimo" TargetMode="External"/><Relationship Id="rId1496" Type="http://schemas.openxmlformats.org/officeDocument/2006/relationships/hyperlink" Target="https://itunes.apple.com/es/book/gettysburg-1863/id665369445?mt=11" TargetMode="External"/><Relationship Id="rId2242" Type="http://schemas.openxmlformats.org/officeDocument/2006/relationships/hyperlink" Target="https://pbs.twimg.com/media/DtpIOv1WoAM1TRd.jpg" TargetMode="External"/><Relationship Id="rId2547" Type="http://schemas.openxmlformats.org/officeDocument/2006/relationships/hyperlink" Target="https://pbs.twimg.com/media/DtlXxjKW4AAnWXe.jpg" TargetMode="External"/><Relationship Id="rId214" Type="http://schemas.openxmlformats.org/officeDocument/2006/relationships/hyperlink" Target="http://www.citizengo.org/hazteoir/pc/167099-al-psoe-ni-agua-sr-rivera?tc=tw&amp;tcid=52579073" TargetMode="External"/><Relationship Id="rId421" Type="http://schemas.openxmlformats.org/officeDocument/2006/relationships/hyperlink" Target="https://pbs.twimg.com/media/Dt0GXgyWsAEDhGN.jpg" TargetMode="External"/><Relationship Id="rId519" Type="http://schemas.openxmlformats.org/officeDocument/2006/relationships/hyperlink" Target="https://twitter.com/Ayto_Sevilla/status/1070734831946997761" TargetMode="External"/><Relationship Id="rId1051" Type="http://schemas.openxmlformats.org/officeDocument/2006/relationships/hyperlink" Target="http://www.bitmomentum.com/" TargetMode="External"/><Relationship Id="rId1149" Type="http://schemas.openxmlformats.org/officeDocument/2006/relationships/hyperlink" Target="https://www.youtube.com/watch?v=3exMYQVP5A4" TargetMode="External"/><Relationship Id="rId1356" Type="http://schemas.openxmlformats.org/officeDocument/2006/relationships/hyperlink" Target="https://www.cope.es/n/305761" TargetMode="External"/><Relationship Id="rId2102" Type="http://schemas.openxmlformats.org/officeDocument/2006/relationships/hyperlink" Target="https://confidencialandaluz.com/psoexit/" TargetMode="External"/><Relationship Id="rId2754" Type="http://schemas.openxmlformats.org/officeDocument/2006/relationships/hyperlink" Target="https://twitter.com/TeoGarciaEgea/status/1069723441933287426" TargetMode="External"/><Relationship Id="rId726" Type="http://schemas.openxmlformats.org/officeDocument/2006/relationships/hyperlink" Target="http://cortes-valencianas.ciudadanos-cs.org/" TargetMode="External"/><Relationship Id="rId933" Type="http://schemas.openxmlformats.org/officeDocument/2006/relationships/hyperlink" Target="https://elpais.com/politica/2018/11/28/actualidad/1543422865_729627.html?id_externo_rsoc=TW_CC" TargetMode="External"/><Relationship Id="rId1009" Type="http://schemas.openxmlformats.org/officeDocument/2006/relationships/hyperlink" Target="http://pic.twitter.com/HeoMJBiyFc" TargetMode="External"/><Relationship Id="rId1563" Type="http://schemas.openxmlformats.org/officeDocument/2006/relationships/hyperlink" Target="https://pbs.twimg.com/media/DtrTDcjXcAEvj0Y.jpg" TargetMode="External"/><Relationship Id="rId1770" Type="http://schemas.openxmlformats.org/officeDocument/2006/relationships/hyperlink" Target="https://bit.ly/2JhRxog" TargetMode="External"/><Relationship Id="rId1868" Type="http://schemas.openxmlformats.org/officeDocument/2006/relationships/hyperlink" Target="https://twitter.com/APP_Cortes/status/1070346348950679553" TargetMode="External"/><Relationship Id="rId2407" Type="http://schemas.openxmlformats.org/officeDocument/2006/relationships/hyperlink" Target="https://www.youtube.com/channel/UCOurIGReyOjoAtccd3UtDbQ" TargetMode="External"/><Relationship Id="rId2614" Type="http://schemas.openxmlformats.org/officeDocument/2006/relationships/hyperlink" Target="https://www.eldiario.es/rastreador/Klux-Klan-Vox-Reconquista-Andalucia_6_842775724.html" TargetMode="External"/><Relationship Id="rId62" Type="http://schemas.openxmlformats.org/officeDocument/2006/relationships/hyperlink" Target="https://blogs.elconfidencial.com/espana/notebook/2018-12-08/vox-albert-rivera-pactos-andalucia-centro-europeista_1692818/" TargetMode="External"/><Relationship Id="rId1216" Type="http://schemas.openxmlformats.org/officeDocument/2006/relationships/hyperlink" Target="http://bit.ly/2QA8MqS" TargetMode="External"/><Relationship Id="rId1423" Type="http://schemas.openxmlformats.org/officeDocument/2006/relationships/hyperlink" Target="http://lrzn.es/gt8bv2" TargetMode="External"/><Relationship Id="rId1630" Type="http://schemas.openxmlformats.org/officeDocument/2006/relationships/hyperlink" Target="https://youtu.be/C4hpa5dCKAo" TargetMode="External"/><Relationship Id="rId1728" Type="http://schemas.openxmlformats.org/officeDocument/2006/relationships/hyperlink" Target="http://shr.gs/4Yk1ljg" TargetMode="External"/><Relationship Id="rId1935" Type="http://schemas.openxmlformats.org/officeDocument/2006/relationships/hyperlink" Target="https://elpais.com/politica/2018/12/05/actualidad/1543998700_343655.html?id_externo_rsoc=TW_CC" TargetMode="External"/><Relationship Id="rId2197" Type="http://schemas.openxmlformats.org/officeDocument/2006/relationships/hyperlink" Target="https://pbs.twimg.com/media/DtpTyCfXgAAvAAc.jpg" TargetMode="External"/><Relationship Id="rId169" Type="http://schemas.openxmlformats.org/officeDocument/2006/relationships/hyperlink" Target="http://javierarnal.wordpress.com/" TargetMode="External"/><Relationship Id="rId376" Type="http://schemas.openxmlformats.org/officeDocument/2006/relationships/hyperlink" Target="https://pbs.twimg.com/media/DtvhLEWW0AAtobf.jpg" TargetMode="External"/><Relationship Id="rId583" Type="http://schemas.openxmlformats.org/officeDocument/2006/relationships/hyperlink" Target="https://pbs.twimg.com/media/DtxbIvUUUAAk6g8.jpg" TargetMode="External"/><Relationship Id="rId790" Type="http://schemas.openxmlformats.org/officeDocument/2006/relationships/hyperlink" Target="http://www.telemadrid.es/emision-en-directo-ondamadrid/" TargetMode="External"/><Relationship Id="rId2057" Type="http://schemas.openxmlformats.org/officeDocument/2006/relationships/hyperlink" Target="https://twitter.com/arnauriwz/status/1070269612678369282" TargetMode="External"/><Relationship Id="rId2264" Type="http://schemas.openxmlformats.org/officeDocument/2006/relationships/hyperlink" Target="https://www.20minutos.es/noticia/3508559/0/albert-rivera-defender-nuestra-constitucion/" TargetMode="External"/><Relationship Id="rId2471" Type="http://schemas.openxmlformats.org/officeDocument/2006/relationships/hyperlink" Target="https://pbs.twimg.com/media/DtmJZIzXQAYaOOT.jpg" TargetMode="External"/><Relationship Id="rId4" Type="http://schemas.openxmlformats.org/officeDocument/2006/relationships/hyperlink" Target="http://www.citizengo.org/hazteoir/pc/167099-al-psoe-ni-agua-sr-rivera?tc=tw&amp;tcid=52583175" TargetMode="External"/><Relationship Id="rId236" Type="http://schemas.openxmlformats.org/officeDocument/2006/relationships/hyperlink" Target="https://pbs.twimg.com/media/Dt2ZsYUXQAA_CJ6.jpg" TargetMode="External"/><Relationship Id="rId443" Type="http://schemas.openxmlformats.org/officeDocument/2006/relationships/hyperlink" Target="http://www.hoyporhoy.es/" TargetMode="External"/><Relationship Id="rId650" Type="http://schemas.openxmlformats.org/officeDocument/2006/relationships/hyperlink" Target="http://amruizg.blogspot.com/" TargetMode="External"/><Relationship Id="rId888" Type="http://schemas.openxmlformats.org/officeDocument/2006/relationships/hyperlink" Target="http://www.bitmomentum.com/" TargetMode="External"/><Relationship Id="rId1073" Type="http://schemas.openxmlformats.org/officeDocument/2006/relationships/hyperlink" Target="http://pic.twitter.com/SS5mH6RiwZ" TargetMode="External"/><Relationship Id="rId1280" Type="http://schemas.openxmlformats.org/officeDocument/2006/relationships/hyperlink" Target="https://goo.gl/7eQaCN?nhx17=2648525078" TargetMode="External"/><Relationship Id="rId2124" Type="http://schemas.openxmlformats.org/officeDocument/2006/relationships/hyperlink" Target="https://pbs.twimg.com/media/DtpsJp1WoAELUlf.jpg" TargetMode="External"/><Relationship Id="rId2331" Type="http://schemas.openxmlformats.org/officeDocument/2006/relationships/hyperlink" Target="https://pbs.twimg.com/media/DtolWIKU8AAFUNJ.jpg" TargetMode="External"/><Relationship Id="rId2569" Type="http://schemas.openxmlformats.org/officeDocument/2006/relationships/hyperlink" Target="https://twitter.com/LolaCebolla/status/1069723862080913408" TargetMode="External"/><Relationship Id="rId2776" Type="http://schemas.openxmlformats.org/officeDocument/2006/relationships/hyperlink" Target="https://federicorelimpio.com/libros/ladridos-en-la-noche/" TargetMode="External"/><Relationship Id="rId303" Type="http://schemas.openxmlformats.org/officeDocument/2006/relationships/hyperlink" Target="https://pbs.twimg.com/media/Dt1RblAX4AEhySz.png" TargetMode="External"/><Relationship Id="rId748" Type="http://schemas.openxmlformats.org/officeDocument/2006/relationships/hyperlink" Target="https://www.playgroundmag.net/now/europa-o-los-fachas-la-amnesia-disociativa-de-albert-rivera_31443293.html" TargetMode="External"/><Relationship Id="rId955" Type="http://schemas.openxmlformats.org/officeDocument/2006/relationships/hyperlink" Target="http://pic.twitter.com/x2YQ2k8WrQ" TargetMode="External"/><Relationship Id="rId1140" Type="http://schemas.openxmlformats.org/officeDocument/2006/relationships/hyperlink" Target="https://www.linkedin.com/in/ronaldsternconsultants" TargetMode="External"/><Relationship Id="rId1378" Type="http://schemas.openxmlformats.org/officeDocument/2006/relationships/hyperlink" Target="http://pic.twitter.com/hNGxlsIz8P" TargetMode="External"/><Relationship Id="rId1585" Type="http://schemas.openxmlformats.org/officeDocument/2006/relationships/hyperlink" Target="https://pbs.twimg.com/media/DtrSykqWsAI8EjU.jpg" TargetMode="External"/><Relationship Id="rId1792" Type="http://schemas.openxmlformats.org/officeDocument/2006/relationships/hyperlink" Target="https://amp.europapress.es/catalunya/noticia-valls-apuesta-gran-pacto-pais-contra-populismos-rechaza-tratos-vox-20181205145815.html" TargetMode="External"/><Relationship Id="rId2429" Type="http://schemas.openxmlformats.org/officeDocument/2006/relationships/hyperlink" Target="https://ift.tt/2AO6Hh6" TargetMode="External"/><Relationship Id="rId2636" Type="http://schemas.openxmlformats.org/officeDocument/2006/relationships/hyperlink" Target="https://www.citizengo.org/hazteoir/pc/167099-al-psoe-ni-agua-sr-rivera" TargetMode="External"/><Relationship Id="rId84" Type="http://schemas.openxmlformats.org/officeDocument/2006/relationships/hyperlink" Target="https://pbs.twimg.com/media/Dt46JVyWoAAHZUn.jpg" TargetMode="External"/><Relationship Id="rId510" Type="http://schemas.openxmlformats.org/officeDocument/2006/relationships/hyperlink" Target="http://www.citizengo.org/hazteoir/pc/167099-al-psoe-ni-agua-sr-rivera?tc=tw&amp;tcid=52564717" TargetMode="External"/><Relationship Id="rId608" Type="http://schemas.openxmlformats.org/officeDocument/2006/relationships/hyperlink" Target="http://goo.gl/alerts/Fzwr9" TargetMode="External"/><Relationship Id="rId815" Type="http://schemas.openxmlformats.org/officeDocument/2006/relationships/hyperlink" Target="http://pic.twitter.com/HKoscjmWer" TargetMode="External"/><Relationship Id="rId1238" Type="http://schemas.openxmlformats.org/officeDocument/2006/relationships/hyperlink" Target="https://pbs.twimg.com/media/Dtoe2Q2WwAEs8aN.jpg" TargetMode="External"/><Relationship Id="rId1445" Type="http://schemas.openxmlformats.org/officeDocument/2006/relationships/hyperlink" Target="http://www.bitmomentum.com/" TargetMode="External"/><Relationship Id="rId1652" Type="http://schemas.openxmlformats.org/officeDocument/2006/relationships/hyperlink" Target="https://pbs.twimg.com/media/DtrHOw7XQAA3eeb.jpg" TargetMode="External"/><Relationship Id="rId1000" Type="http://schemas.openxmlformats.org/officeDocument/2006/relationships/hyperlink" Target="http://dlvr.it/QsypZf" TargetMode="External"/><Relationship Id="rId1305" Type="http://schemas.openxmlformats.org/officeDocument/2006/relationships/hyperlink" Target="http://www.bitmomentum.com/" TargetMode="External"/><Relationship Id="rId1957" Type="http://schemas.openxmlformats.org/officeDocument/2006/relationships/hyperlink" Target="http://bit.ly/2rkDBBB" TargetMode="External"/><Relationship Id="rId2703" Type="http://schemas.openxmlformats.org/officeDocument/2006/relationships/hyperlink" Target="http://www.lacerca.com/noticias/espana/teodoro-garcia-ciudadanos-apoyar-pp-cuatro-anos-psoe-447823-1.html" TargetMode="External"/><Relationship Id="rId1512" Type="http://schemas.openxmlformats.org/officeDocument/2006/relationships/hyperlink" Target="https://twitter.com/JavierEdrosa/status/1070405885661458432" TargetMode="External"/><Relationship Id="rId1817" Type="http://schemas.openxmlformats.org/officeDocument/2006/relationships/hyperlink" Target="https://pbs.twimg.com/media/DtquInAXgAAaPNf.jpg" TargetMode="External"/><Relationship Id="rId11" Type="http://schemas.openxmlformats.org/officeDocument/2006/relationships/hyperlink" Target="http://lab.elmundo.es/emmanuel-macron/albert-rivera.html" TargetMode="External"/><Relationship Id="rId398" Type="http://schemas.openxmlformats.org/officeDocument/2006/relationships/hyperlink" Target="http://www.eldiario.es/" TargetMode="External"/><Relationship Id="rId2079" Type="http://schemas.openxmlformats.org/officeDocument/2006/relationships/hyperlink" Target="https://twitter.com/torrerojulian/status/1070037045916155904" TargetMode="External"/><Relationship Id="rId160" Type="http://schemas.openxmlformats.org/officeDocument/2006/relationships/hyperlink" Target="http://dlvr.it/Qt77gb" TargetMode="External"/><Relationship Id="rId2286" Type="http://schemas.openxmlformats.org/officeDocument/2006/relationships/hyperlink" Target="http://www.marbellaconfidencial.es/" TargetMode="External"/><Relationship Id="rId2493" Type="http://schemas.openxmlformats.org/officeDocument/2006/relationships/hyperlink" Target="http://www.multiforo.eu/Colaboraciones/2018/TratadoDeUtrechDos.htm" TargetMode="External"/><Relationship Id="rId258" Type="http://schemas.openxmlformats.org/officeDocument/2006/relationships/hyperlink" Target="https://www.elplural.com/politica/lo-nunca-contado-de-la-intima-amistad-entre-albert-rivera-y-santiago-abascal_207666102" TargetMode="External"/><Relationship Id="rId465" Type="http://schemas.openxmlformats.org/officeDocument/2006/relationships/hyperlink" Target="http://www.citizengo.org/hazteoir/pc/167099-al-psoe-ni-agua-sr-rivera?tc=tw&amp;tcid=52565221" TargetMode="External"/><Relationship Id="rId672" Type="http://schemas.openxmlformats.org/officeDocument/2006/relationships/hyperlink" Target="https://www.youtube.com/watch?v=z6pF1CwjKpA" TargetMode="External"/><Relationship Id="rId1095" Type="http://schemas.openxmlformats.org/officeDocument/2006/relationships/hyperlink" Target="http://pic.twitter.com/vLyMnKwrmf" TargetMode="External"/><Relationship Id="rId2146" Type="http://schemas.openxmlformats.org/officeDocument/2006/relationships/hyperlink" Target="http://www.ramblalibre.com/" TargetMode="External"/><Relationship Id="rId2353" Type="http://schemas.openxmlformats.org/officeDocument/2006/relationships/hyperlink" Target="http://www.lextres.com/" TargetMode="External"/><Relationship Id="rId2560" Type="http://schemas.openxmlformats.org/officeDocument/2006/relationships/hyperlink" Target="http://www.mientemimente.wordpress.com/" TargetMode="External"/><Relationship Id="rId118" Type="http://schemas.openxmlformats.org/officeDocument/2006/relationships/hyperlink" Target="https://okdiario.com/internacional/2018/12/08/iran-amenaza-occidente-diluvio-drogas-refugiados-atentados-si-continuan-sanciones-3441895/amp" TargetMode="External"/><Relationship Id="rId325" Type="http://schemas.openxmlformats.org/officeDocument/2006/relationships/hyperlink" Target="https://youtu.be/g-JQWk3Wb8U" TargetMode="External"/><Relationship Id="rId532" Type="http://schemas.openxmlformats.org/officeDocument/2006/relationships/hyperlink" Target="https://pbs.twimg.com/media/DtzKUpCWwAE7YcQ.jpg" TargetMode="External"/><Relationship Id="rId977" Type="http://schemas.openxmlformats.org/officeDocument/2006/relationships/hyperlink" Target="http://pic.twitter.com/o8aDyzKnDf" TargetMode="External"/><Relationship Id="rId1162" Type="http://schemas.openxmlformats.org/officeDocument/2006/relationships/hyperlink" Target="https://twitter.com/JuanMarin_Cs/status/1070326961640235008" TargetMode="External"/><Relationship Id="rId2006" Type="http://schemas.openxmlformats.org/officeDocument/2006/relationships/hyperlink" Target="http://felisaps.blogspot.com.es/" TargetMode="External"/><Relationship Id="rId2213" Type="http://schemas.openxmlformats.org/officeDocument/2006/relationships/hyperlink" Target="http://www.ciudadanos-cs.org/" TargetMode="External"/><Relationship Id="rId2420" Type="http://schemas.openxmlformats.org/officeDocument/2006/relationships/hyperlink" Target="http://www.zapper.news/" TargetMode="External"/><Relationship Id="rId2658" Type="http://schemas.openxmlformats.org/officeDocument/2006/relationships/hyperlink" Target="http://pic.twitter.com/KT4Ajb9xTM" TargetMode="External"/><Relationship Id="rId837" Type="http://schemas.openxmlformats.org/officeDocument/2006/relationships/hyperlink" Target="https://pbs.twimg.com/media/Dtvnz8NXcAAJkif.jpg" TargetMode="External"/><Relationship Id="rId1022" Type="http://schemas.openxmlformats.org/officeDocument/2006/relationships/hyperlink" Target="http://thesustainabilityreader.com/" TargetMode="External"/><Relationship Id="rId1467" Type="http://schemas.openxmlformats.org/officeDocument/2006/relationships/hyperlink" Target="http://www.cope.es/" TargetMode="External"/><Relationship Id="rId1674" Type="http://schemas.openxmlformats.org/officeDocument/2006/relationships/hyperlink" Target="https://www.elmundo.es/espana/2018/12/05/5c07d10afc6c83de3f8b475c.html" TargetMode="External"/><Relationship Id="rId1881" Type="http://schemas.openxmlformats.org/officeDocument/2006/relationships/hyperlink" Target="https://youtu.be/a01QQZyl-_I" TargetMode="External"/><Relationship Id="rId2518" Type="http://schemas.openxmlformats.org/officeDocument/2006/relationships/hyperlink" Target="http://www.citizengo.org/hazteoir/pc/167099-al-psoe-ni-agua-sr-rivera?tc=wp&amp;tcid=52510153" TargetMode="External"/><Relationship Id="rId2725" Type="http://schemas.openxmlformats.org/officeDocument/2006/relationships/hyperlink" Target="https://federicorelimpio.com/libros/ladridos-en-la-noche/" TargetMode="External"/><Relationship Id="rId904" Type="http://schemas.openxmlformats.org/officeDocument/2006/relationships/hyperlink" Target="https://www.europapress.es/nacional/noticia-albert-rivera-dice-izquierda-derecha-no-hay-enemigos-compatriotas-20181206113859.html" TargetMode="External"/><Relationship Id="rId1327" Type="http://schemas.openxmlformats.org/officeDocument/2006/relationships/hyperlink" Target="https://pbs.twimg.com/media/DtsJNubWoAIGSeb.jpg" TargetMode="External"/><Relationship Id="rId1534" Type="http://schemas.openxmlformats.org/officeDocument/2006/relationships/hyperlink" Target="http://instagram.com/itsalegomez" TargetMode="External"/><Relationship Id="rId1741" Type="http://schemas.openxmlformats.org/officeDocument/2006/relationships/hyperlink" Target="http://www.mirametv.com/" TargetMode="External"/><Relationship Id="rId1979" Type="http://schemas.openxmlformats.org/officeDocument/2006/relationships/hyperlink" Target="https://pbs.twimg.com/media/Dtp_vkxXgAEBPCR.jpg" TargetMode="External"/><Relationship Id="rId33" Type="http://schemas.openxmlformats.org/officeDocument/2006/relationships/hyperlink" Target="http://pic.twitter.com/DVgQpFgjq2" TargetMode="External"/><Relationship Id="rId1601" Type="http://schemas.openxmlformats.org/officeDocument/2006/relationships/hyperlink" Target="http://noticiasvenezuela.org/" TargetMode="External"/><Relationship Id="rId1839" Type="http://schemas.openxmlformats.org/officeDocument/2006/relationships/hyperlink" Target="https://www.ciudadanos-cs.org/prensa/rivera-el-presidente-de-la-junta-debe-ser-limpio-con-capacidad-de-dialogo-y-que-no-pare-de-crecer/11142" TargetMode="External"/><Relationship Id="rId182" Type="http://schemas.openxmlformats.org/officeDocument/2006/relationships/hyperlink" Target="http://www.elconfidencialdigital.com/" TargetMode="External"/><Relationship Id="rId1906" Type="http://schemas.openxmlformats.org/officeDocument/2006/relationships/hyperlink" Target="http://albertosanzblanco.wordpress.com/" TargetMode="External"/><Relationship Id="rId487" Type="http://schemas.openxmlformats.org/officeDocument/2006/relationships/hyperlink" Target="https://www.elplural.com/politica/lo-nunca-contado-de-la-intima-amistad-entre-albert-rivera-y-santiago-abascal_207666102" TargetMode="External"/><Relationship Id="rId694" Type="http://schemas.openxmlformats.org/officeDocument/2006/relationships/hyperlink" Target="http://www.losgenoveses.net/" TargetMode="External"/><Relationship Id="rId2070" Type="http://schemas.openxmlformats.org/officeDocument/2006/relationships/hyperlink" Target="http://20minutos.es/" TargetMode="External"/><Relationship Id="rId2168" Type="http://schemas.openxmlformats.org/officeDocument/2006/relationships/hyperlink" Target="http://snickpeek.wordpress.com/" TargetMode="External"/><Relationship Id="rId2375" Type="http://schemas.openxmlformats.org/officeDocument/2006/relationships/hyperlink" Target="https://goo.gl/bqkmH3?mlq25=1159059138" TargetMode="External"/><Relationship Id="rId347" Type="http://schemas.openxmlformats.org/officeDocument/2006/relationships/hyperlink" Target="https://www.elplural.com/autonomias/andalucia/el-futuro-de-andalucia-se-decide-en-madrid_207700102" TargetMode="External"/><Relationship Id="rId999" Type="http://schemas.openxmlformats.org/officeDocument/2006/relationships/hyperlink" Target="https://pbs.twimg.com/media/Dtuzf4EXQAApyn3.jpg" TargetMode="External"/><Relationship Id="rId1184" Type="http://schemas.openxmlformats.org/officeDocument/2006/relationships/hyperlink" Target="https://pbs.twimg.com/media/DtuKxuNW4AAc0d1.jpg" TargetMode="External"/><Relationship Id="rId2028" Type="http://schemas.openxmlformats.org/officeDocument/2006/relationships/hyperlink" Target="http://elmundo.es/" TargetMode="External"/><Relationship Id="rId2582" Type="http://schemas.openxmlformats.org/officeDocument/2006/relationships/hyperlink" Target="https://pbs.twimg.com/media/Dtk_GIpW4AUNa-r.jpg" TargetMode="External"/><Relationship Id="rId554" Type="http://schemas.openxmlformats.org/officeDocument/2006/relationships/hyperlink" Target="https://pbs.twimg.com/media/Dty_Z7bWwAARjCW.jpg" TargetMode="External"/><Relationship Id="rId761" Type="http://schemas.openxmlformats.org/officeDocument/2006/relationships/hyperlink" Target="http://quelcuttiana.blogspot.com.es/" TargetMode="External"/><Relationship Id="rId859" Type="http://schemas.openxmlformats.org/officeDocument/2006/relationships/hyperlink" Target="http://www.lasexta.com/" TargetMode="External"/><Relationship Id="rId1391" Type="http://schemas.openxmlformats.org/officeDocument/2006/relationships/hyperlink" Target="https://www.20minutos.es/noticia/3508559/0/albert-rivera-defender-nuestra-constitucion/?utm_source=twitter.com&amp;utm_medium=socialshare&amp;utm_campaign=desktop" TargetMode="External"/><Relationship Id="rId1489" Type="http://schemas.openxmlformats.org/officeDocument/2006/relationships/hyperlink" Target="http://atres.red/fevon1" TargetMode="External"/><Relationship Id="rId1696" Type="http://schemas.openxmlformats.org/officeDocument/2006/relationships/hyperlink" Target="http://pic.twitter.com/HzsXfMBq28" TargetMode="External"/><Relationship Id="rId2235" Type="http://schemas.openxmlformats.org/officeDocument/2006/relationships/hyperlink" Target="http://dlvr.it/Qssdth" TargetMode="External"/><Relationship Id="rId2442" Type="http://schemas.openxmlformats.org/officeDocument/2006/relationships/hyperlink" Target="https://twitter.com/jcuixart/status/1069641708122574854" TargetMode="External"/><Relationship Id="rId207" Type="http://schemas.openxmlformats.org/officeDocument/2006/relationships/hyperlink" Target="https://pbs.twimg.com/media/Dt4AllGWwAAVZjw.jpg" TargetMode="External"/><Relationship Id="rId414" Type="http://schemas.openxmlformats.org/officeDocument/2006/relationships/hyperlink" Target="https://pbs.twimg.com/media/Dt0KtrJXQAAdiaq.jpg" TargetMode="External"/><Relationship Id="rId621" Type="http://schemas.openxmlformats.org/officeDocument/2006/relationships/hyperlink" Target="https://youtu.be/kkG_dWoUpyc" TargetMode="External"/><Relationship Id="rId1044" Type="http://schemas.openxmlformats.org/officeDocument/2006/relationships/hyperlink" Target="http://pic.twitter.com/skZV3ZJAHm" TargetMode="External"/><Relationship Id="rId1251" Type="http://schemas.openxmlformats.org/officeDocument/2006/relationships/hyperlink" Target="http://a.msn.com/01/es-es/BBQwg6d?ocid=st" TargetMode="External"/><Relationship Id="rId1349" Type="http://schemas.openxmlformats.org/officeDocument/2006/relationships/hyperlink" Target="https://www.larazon.es/" TargetMode="External"/><Relationship Id="rId2302" Type="http://schemas.openxmlformats.org/officeDocument/2006/relationships/hyperlink" Target="https://www.20minutos.es/noticia/3508559/0/albert-rivera-defender-nuestra-constitucion/?utm_source=twitter.com&amp;utm_medium=socialshare&amp;utm_campaign=mobile_web" TargetMode="External"/><Relationship Id="rId2747" Type="http://schemas.openxmlformats.org/officeDocument/2006/relationships/hyperlink" Target="https://www.lavanguardia.com/politica/20181204/453328510461/elecciones-andaluzas-pp-cs-vox-pacto-susana-diaz.html" TargetMode="External"/><Relationship Id="rId719" Type="http://schemas.openxmlformats.org/officeDocument/2006/relationships/hyperlink" Target="http://elmascadelbarrio.blogspot.com.es/" TargetMode="External"/><Relationship Id="rId926" Type="http://schemas.openxmlformats.org/officeDocument/2006/relationships/hyperlink" Target="https://www.ciudadanos-cs.org/" TargetMode="External"/><Relationship Id="rId1111" Type="http://schemas.openxmlformats.org/officeDocument/2006/relationships/hyperlink" Target="https://pbs.twimg.com/media/DtucUjwW0AAyobA.jpg" TargetMode="External"/><Relationship Id="rId1556" Type="http://schemas.openxmlformats.org/officeDocument/2006/relationships/hyperlink" Target="http://elperiodi.co/midpg1" TargetMode="External"/><Relationship Id="rId1763" Type="http://schemas.openxmlformats.org/officeDocument/2006/relationships/hyperlink" Target="http://www.geo.ya.com/xose36/" TargetMode="External"/><Relationship Id="rId1970" Type="http://schemas.openxmlformats.org/officeDocument/2006/relationships/hyperlink" Target="https://www.instagram.com/nazaret6565/?hl=es" TargetMode="External"/><Relationship Id="rId2607" Type="http://schemas.openxmlformats.org/officeDocument/2006/relationships/hyperlink" Target="https://www.facebook.com/pages/Ciudadanos-Pescados/921115804614055?fref=nf" TargetMode="External"/><Relationship Id="rId55" Type="http://schemas.openxmlformats.org/officeDocument/2006/relationships/hyperlink" Target="https://pbs.twimg.com/media/Dt3MhynWwAAaUig.jpg" TargetMode="External"/><Relationship Id="rId1209" Type="http://schemas.openxmlformats.org/officeDocument/2006/relationships/hyperlink" Target="https://pbs.twimg.com/media/Dtt-qOrXcAAqvl_.jpg" TargetMode="External"/><Relationship Id="rId1416" Type="http://schemas.openxmlformats.org/officeDocument/2006/relationships/hyperlink" Target="http://lrzn.es/gt8bv2" TargetMode="External"/><Relationship Id="rId1623" Type="http://schemas.openxmlformats.org/officeDocument/2006/relationships/hyperlink" Target="http://j.mp/2RCdrFU" TargetMode="External"/><Relationship Id="rId1830" Type="http://schemas.openxmlformats.org/officeDocument/2006/relationships/hyperlink" Target="https://pbs.twimg.com/media/Dtp7sr8W4AYEE-l.jpg" TargetMode="External"/><Relationship Id="rId218" Type="http://schemas.openxmlformats.org/officeDocument/2006/relationships/hyperlink" Target="https://www.facebook.com/majose.valiente/posts/1949903595062744" TargetMode="External"/><Relationship Id="rId425" Type="http://schemas.openxmlformats.org/officeDocument/2006/relationships/hyperlink" Target="https://www.larazon.es/espana/buch-cree-que-algunos-mossos-se-extralimitaron-en-las-cargas-LM20867480" TargetMode="External"/><Relationship Id="rId632" Type="http://schemas.openxmlformats.org/officeDocument/2006/relationships/hyperlink" Target="http://www.youtube.com/channel/UCGA1_eec552ZWn41Fzl5x5A/videos" TargetMode="External"/><Relationship Id="rId1055" Type="http://schemas.openxmlformats.org/officeDocument/2006/relationships/hyperlink" Target="https://www.elconfidencial.com/cultura/2018-12-06/cronica-urgente-espana-museo-cera-cabeza-rivera-broma_1678174/?utm_campaign=BotoneraWebapp&amp;utm_source=twitter&amp;utm_medium=social" TargetMode="External"/><Relationship Id="rId1262" Type="http://schemas.openxmlformats.org/officeDocument/2006/relationships/hyperlink" Target="http://www.bitmomentum.com/" TargetMode="External"/><Relationship Id="rId1928" Type="http://schemas.openxmlformats.org/officeDocument/2006/relationships/hyperlink" Target="http://www.bitmomentum.com/" TargetMode="External"/><Relationship Id="rId2092" Type="http://schemas.openxmlformats.org/officeDocument/2006/relationships/hyperlink" Target="http://twitch.tv/rochseaside" TargetMode="External"/><Relationship Id="rId2106" Type="http://schemas.openxmlformats.org/officeDocument/2006/relationships/hyperlink" Target="https://twitter.com/Gauguinepicuro/status/1069971198908469248" TargetMode="External"/><Relationship Id="rId2313" Type="http://schemas.openxmlformats.org/officeDocument/2006/relationships/hyperlink" Target="https://pbs.twimg.com/media/DtkUhvOX4AA7vFj.jpg" TargetMode="External"/><Relationship Id="rId2520" Type="http://schemas.openxmlformats.org/officeDocument/2006/relationships/hyperlink" Target="https://www.facebook.com/567778703298149/posts/1976167982459207/" TargetMode="External"/><Relationship Id="rId2758" Type="http://schemas.openxmlformats.org/officeDocument/2006/relationships/hyperlink" Target="https://www.lavanguardia.com/politica/20181204/453328510461/elecciones-andaluzas-pp-cs-vox-pacto-susana-diaz.html" TargetMode="External"/><Relationship Id="rId271" Type="http://schemas.openxmlformats.org/officeDocument/2006/relationships/hyperlink" Target="https://www.elplural.com/politica/lo-nunca-contado-de-la-intima-amistad-entre-albert-rivera-y-santiago-abascal_207666102" TargetMode="External"/><Relationship Id="rId937" Type="http://schemas.openxmlformats.org/officeDocument/2006/relationships/hyperlink" Target="https://ift.tt/2SuvJcn" TargetMode="External"/><Relationship Id="rId1122" Type="http://schemas.openxmlformats.org/officeDocument/2006/relationships/hyperlink" Target="http://pic.twitter.com/Q6wowfYskJ" TargetMode="External"/><Relationship Id="rId1567" Type="http://schemas.openxmlformats.org/officeDocument/2006/relationships/hyperlink" Target="http://pic.twitter.com/OWTEmkoM73" TargetMode="External"/><Relationship Id="rId1774" Type="http://schemas.openxmlformats.org/officeDocument/2006/relationships/hyperlink" Target="https://jaumerisquetesanchez.wordpress.com/" TargetMode="External"/><Relationship Id="rId1981" Type="http://schemas.openxmlformats.org/officeDocument/2006/relationships/hyperlink" Target="https://pbs.twimg.com/media/DtqMXfVWoAU0aXi.jpg" TargetMode="External"/><Relationship Id="rId2397" Type="http://schemas.openxmlformats.org/officeDocument/2006/relationships/hyperlink" Target="http://pic.twitter.com/BKr3NOomhA" TargetMode="External"/><Relationship Id="rId2618" Type="http://schemas.openxmlformats.org/officeDocument/2006/relationships/hyperlink" Target="http://alcantarillasocial.com/author/protestona1" TargetMode="External"/><Relationship Id="rId66" Type="http://schemas.openxmlformats.org/officeDocument/2006/relationships/hyperlink" Target="https://m.publico.es/economia/2071704/la-corrupcion-hace-que-espana-pierda-mas-90000-millones-al-ano/amp?__twitter_impression=true" TargetMode="External"/><Relationship Id="rId131" Type="http://schemas.openxmlformats.org/officeDocument/2006/relationships/hyperlink" Target="https://www.elconfidencialdigital.com/articulo/politica/albert-rivera-tiene-plan-pactar-vox-enfadar-socios-europeos/20181207212045119111.html" TargetMode="External"/><Relationship Id="rId369" Type="http://schemas.openxmlformats.org/officeDocument/2006/relationships/hyperlink" Target="https://www.elplural.com/politica/lo-nunca-contado-de-la-intima-amistad-entre-albert-rivera-y-santiago-abascal_207666102_amp?__twitter_impression=true" TargetMode="External"/><Relationship Id="rId576" Type="http://schemas.openxmlformats.org/officeDocument/2006/relationships/hyperlink" Target="https://www.libertaddigital.com/opinion/emilio-campmany/rivera-consumido-por-los-celos-86667/" TargetMode="External"/><Relationship Id="rId783" Type="http://schemas.openxmlformats.org/officeDocument/2006/relationships/hyperlink" Target="http://t52m.blogspot.com.es/" TargetMode="External"/><Relationship Id="rId990" Type="http://schemas.openxmlformats.org/officeDocument/2006/relationships/hyperlink" Target="https://pbs.twimg.com/media/Dtu2G-HWsAESoV0.jpg" TargetMode="External"/><Relationship Id="rId1427" Type="http://schemas.openxmlformats.org/officeDocument/2006/relationships/hyperlink" Target="https://youtu.be/RTaLCxiU6KU" TargetMode="External"/><Relationship Id="rId1634" Type="http://schemas.openxmlformats.org/officeDocument/2006/relationships/hyperlink" Target="http://www.ciudadanos-cs.org/" TargetMode="External"/><Relationship Id="rId1841" Type="http://schemas.openxmlformats.org/officeDocument/2006/relationships/hyperlink" Target="http://www.ciudadanos-cs.org/" TargetMode="External"/><Relationship Id="rId2257" Type="http://schemas.openxmlformats.org/officeDocument/2006/relationships/hyperlink" Target="http://madressolterasporeleccion.org/" TargetMode="External"/><Relationship Id="rId2464" Type="http://schemas.openxmlformats.org/officeDocument/2006/relationships/hyperlink" Target="https://es.noticias.yahoo.com/el-plan-de-dinamarca-para-aislar-los-inmigrantes-que-no-quiere-en-una-isla-diminuta-110954009.html" TargetMode="External"/><Relationship Id="rId2671" Type="http://schemas.openxmlformats.org/officeDocument/2006/relationships/hyperlink" Target="https://twitter.com/FSerranoCastro/status/729684736965267456" TargetMode="External"/><Relationship Id="rId229" Type="http://schemas.openxmlformats.org/officeDocument/2006/relationships/hyperlink" Target="https://pbs.twimg.com/media/Dt2kQYxW4AAwlXo.jpg" TargetMode="External"/><Relationship Id="rId436" Type="http://schemas.openxmlformats.org/officeDocument/2006/relationships/hyperlink" Target="https://pbs.twimg.com/media/Dtz_CykX4AAKfwN.jpg" TargetMode="External"/><Relationship Id="rId643" Type="http://schemas.openxmlformats.org/officeDocument/2006/relationships/hyperlink" Target="http://www.bitmomentum.com/" TargetMode="External"/><Relationship Id="rId1066" Type="http://schemas.openxmlformats.org/officeDocument/2006/relationships/hyperlink" Target="http://calafell.ciudadanos-cs.org/" TargetMode="External"/><Relationship Id="rId1273" Type="http://schemas.openxmlformats.org/officeDocument/2006/relationships/hyperlink" Target="https://m.eldiario.es/catalunya/politica/Valls-Rivera-Vox-populismo-separatismo_0_843066684.html" TargetMode="External"/><Relationship Id="rId1480" Type="http://schemas.openxmlformats.org/officeDocument/2006/relationships/hyperlink" Target="http://ciudadanos-cs.org/" TargetMode="External"/><Relationship Id="rId1939" Type="http://schemas.openxmlformats.org/officeDocument/2006/relationships/hyperlink" Target="http://www.ciudadanos-cs.org/" TargetMode="External"/><Relationship Id="rId2117" Type="http://schemas.openxmlformats.org/officeDocument/2006/relationships/hyperlink" Target="http://ayuntamiento-valencia.ciudadanos-cs.org/" TargetMode="External"/><Relationship Id="rId2324" Type="http://schemas.openxmlformats.org/officeDocument/2006/relationships/hyperlink" Target="https://www.elmundo.es/opinion/2018/12/05/5c06b60efdddfff2538b45fe.html" TargetMode="External"/><Relationship Id="rId2769" Type="http://schemas.openxmlformats.org/officeDocument/2006/relationships/hyperlink" Target="http://pic.twitter.com/vYTLza3Orh" TargetMode="External"/><Relationship Id="rId850" Type="http://schemas.openxmlformats.org/officeDocument/2006/relationships/hyperlink" Target="https://pbs.twimg.com/media/Dtrw1A-WoAEzQRH.jpg" TargetMode="External"/><Relationship Id="rId948" Type="http://schemas.openxmlformats.org/officeDocument/2006/relationships/hyperlink" Target="http://www.citizengo.org/hazteoir/pc/167099-al-psoe-ni-agua-sr-rivera?tc=tw&amp;tcid=52558380" TargetMode="External"/><Relationship Id="rId1133" Type="http://schemas.openxmlformats.org/officeDocument/2006/relationships/hyperlink" Target="https://latribunadelpaisvasco.com/art/10136/albert-rivera-confirma-que-desalojaran-al-psoe-de-la-junta-de-andalucia" TargetMode="External"/><Relationship Id="rId1578" Type="http://schemas.openxmlformats.org/officeDocument/2006/relationships/hyperlink" Target="https://pbs.twimg.com/media/DtrVG8kWoAIwRMH.jpg" TargetMode="External"/><Relationship Id="rId1701" Type="http://schemas.openxmlformats.org/officeDocument/2006/relationships/hyperlink" Target="http://www.espa&#241;a-ciudadana.es/" TargetMode="External"/><Relationship Id="rId1785" Type="http://schemas.openxmlformats.org/officeDocument/2006/relationships/hyperlink" Target="https://www.dolcacatalunya.com/2018/12/pero-que-le-pasa-a-ciudadanos/" TargetMode="External"/><Relationship Id="rId1992" Type="http://schemas.openxmlformats.org/officeDocument/2006/relationships/hyperlink" Target="https://twitter.com/hoyporhoy/status/1070229698314153986" TargetMode="External"/><Relationship Id="rId2531" Type="http://schemas.openxmlformats.org/officeDocument/2006/relationships/hyperlink" Target="http://www.alertadigital.com/2018/12/03/la-insoportable-levedad-de-albert-rivera/" TargetMode="External"/><Relationship Id="rId2629" Type="http://schemas.openxmlformats.org/officeDocument/2006/relationships/hyperlink" Target="http://instagram.com/victor12v" TargetMode="External"/><Relationship Id="rId77" Type="http://schemas.openxmlformats.org/officeDocument/2006/relationships/hyperlink" Target="https://blogs.elconfidencial.com/espana/notebook/2018-12-08/vox-albert-rivera-pactos-andalucia-centro-europeista_1692818/?utm_source=twitter&amp;utm_medium=social&amp;utm_campaign=BotoneraWeb" TargetMode="External"/><Relationship Id="rId282" Type="http://schemas.openxmlformats.org/officeDocument/2006/relationships/hyperlink" Target="http://pic.twitter.com/E9sILQUTX9" TargetMode="External"/><Relationship Id="rId503" Type="http://schemas.openxmlformats.org/officeDocument/2006/relationships/hyperlink" Target="http://j.mp/2Ef1gvH" TargetMode="External"/><Relationship Id="rId587" Type="http://schemas.openxmlformats.org/officeDocument/2006/relationships/hyperlink" Target="https://twitter.com/numer344/status/1070646509539086336" TargetMode="External"/><Relationship Id="rId710" Type="http://schemas.openxmlformats.org/officeDocument/2006/relationships/hyperlink" Target="http://www.citizengo.org/hazteoir/pc/167099-al-psoe-ni-agua-sr-rivera?tc=tw&amp;tcid=52561370" TargetMode="External"/><Relationship Id="rId808" Type="http://schemas.openxmlformats.org/officeDocument/2006/relationships/hyperlink" Target="http://dlvr.it/Qszqlc" TargetMode="External"/><Relationship Id="rId1340" Type="http://schemas.openxmlformats.org/officeDocument/2006/relationships/hyperlink" Target="http://www.bitmomentum.com/" TargetMode="External"/><Relationship Id="rId1438" Type="http://schemas.openxmlformats.org/officeDocument/2006/relationships/hyperlink" Target="http://www.ciudadanos-cs.org/" TargetMode="External"/><Relationship Id="rId1645" Type="http://schemas.openxmlformats.org/officeDocument/2006/relationships/hyperlink" Target="http://www.diariodeuntranseunte.es/" TargetMode="External"/><Relationship Id="rId2170" Type="http://schemas.openxmlformats.org/officeDocument/2006/relationships/hyperlink" Target="https://www.hechosdehoy.com/albert-rivera-e-ines-arrimadas-en-reunion-crucial-para-andalucia-70513.htm" TargetMode="External"/><Relationship Id="rId2268" Type="http://schemas.openxmlformats.org/officeDocument/2006/relationships/hyperlink" Target="https://twitter.com/teoleongross/status/1070226495606538240" TargetMode="External"/><Relationship Id="rId8" Type="http://schemas.openxmlformats.org/officeDocument/2006/relationships/hyperlink" Target="https://pbs.twimg.com/media/Dt5ymzXWsAcvnNw.jpg" TargetMode="External"/><Relationship Id="rId142"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447" Type="http://schemas.openxmlformats.org/officeDocument/2006/relationships/hyperlink" Target="https://www.larepublica.cat/denuncien-una-monitora-per-usar-una-foto-de-junqueras-per-mostrar-els-efectes-de-les-drogues/" TargetMode="External"/><Relationship Id="rId794" Type="http://schemas.openxmlformats.org/officeDocument/2006/relationships/hyperlink" Target="https://www.ciudadanos-cs.org/" TargetMode="External"/><Relationship Id="rId1077" Type="http://schemas.openxmlformats.org/officeDocument/2006/relationships/hyperlink" Target="https://pbs.twimg.com/media/DtugT8fXgAApD6b.jpg" TargetMode="External"/><Relationship Id="rId1200" Type="http://schemas.openxmlformats.org/officeDocument/2006/relationships/hyperlink" Target="http://blogdebabunita.blogspot.com/" TargetMode="External"/><Relationship Id="rId1852" Type="http://schemas.openxmlformats.org/officeDocument/2006/relationships/hyperlink" Target="http://pic.twitter.com/fu05CeLA1i" TargetMode="External"/><Relationship Id="rId2030" Type="http://schemas.openxmlformats.org/officeDocument/2006/relationships/hyperlink" Target="https://pbs.twimg.com/media/Dtp_bldW4AA_eLG.jpg" TargetMode="External"/><Relationship Id="rId2128" Type="http://schemas.openxmlformats.org/officeDocument/2006/relationships/hyperlink" Target="https://www.20minutos.es/noticia/3508559/0/albert-rivera-defender-nuestra-constitucion/?utm_source=twitter.com&amp;utm_medium=socialshare&amp;utm_campaign=mobile_web" TargetMode="External"/><Relationship Id="rId2475" Type="http://schemas.openxmlformats.org/officeDocument/2006/relationships/hyperlink" Target="http://www.xaviboadavila.com/" TargetMode="External"/><Relationship Id="rId2682" Type="http://schemas.openxmlformats.org/officeDocument/2006/relationships/hyperlink" Target="https://youtu.be/e2Ayc-WIK_Y" TargetMode="External"/><Relationship Id="rId654" Type="http://schemas.openxmlformats.org/officeDocument/2006/relationships/hyperlink" Target="https://twitter.com/BeatrizTalegon/status/1070741767971094528" TargetMode="External"/><Relationship Id="rId861" Type="http://schemas.openxmlformats.org/officeDocument/2006/relationships/hyperlink" Target="https://bit.ly/2QCm8Tn" TargetMode="External"/><Relationship Id="rId959" Type="http://schemas.openxmlformats.org/officeDocument/2006/relationships/hyperlink" Target="http://www.cuatro.com/noticias" TargetMode="External"/><Relationship Id="rId1284" Type="http://schemas.openxmlformats.org/officeDocument/2006/relationships/hyperlink" Target="https://www.mediafire.com/?6kmfocx1yi5p7w1" TargetMode="External"/><Relationship Id="rId1491" Type="http://schemas.openxmlformats.org/officeDocument/2006/relationships/hyperlink" Target="https://twitter.com/InesArrimadas/status/1070410382139891714" TargetMode="External"/><Relationship Id="rId1505" Type="http://schemas.openxmlformats.org/officeDocument/2006/relationships/hyperlink" Target="https://pbs.twimg.com/media/DtmpWUJWoAATJWf.jpg" TargetMode="External"/><Relationship Id="rId1589" Type="http://schemas.openxmlformats.org/officeDocument/2006/relationships/hyperlink" Target="https://www.facebook.com/Eclipsetv-1724122281239439/" TargetMode="External"/><Relationship Id="rId1712" Type="http://schemas.openxmlformats.org/officeDocument/2006/relationships/hyperlink" Target="http://pic.twitter.com/G9iFd6rfgm" TargetMode="External"/><Relationship Id="rId2335" Type="http://schemas.openxmlformats.org/officeDocument/2006/relationships/hyperlink" Target="http://unpobrecitohablador.tumblr.com/" TargetMode="External"/><Relationship Id="rId2542" Type="http://schemas.openxmlformats.org/officeDocument/2006/relationships/hyperlink" Target="https://www.facebook.com/carmelodifazioescritor/" TargetMode="External"/><Relationship Id="rId293" Type="http://schemas.openxmlformats.org/officeDocument/2006/relationships/hyperlink" Target="https://www.vozpopuli.com/politica/TCuentas-anomalias-contabilidad-Cs-PP_0_1197780719.html" TargetMode="External"/><Relationship Id="rId307" Type="http://schemas.openxmlformats.org/officeDocument/2006/relationships/hyperlink" Target="https://pbs.twimg.com/media/Dt1PcjFWsAE6Oqa.jpg" TargetMode="External"/><Relationship Id="rId514" Type="http://schemas.openxmlformats.org/officeDocument/2006/relationships/hyperlink" Target="https://pbs.twimg.com/media/DthQYGQW4AACydy.jpg" TargetMode="External"/><Relationship Id="rId721" Type="http://schemas.openxmlformats.org/officeDocument/2006/relationships/hyperlink" Target="https://www.elplural.com/politica/pablo-iglesias-o-albert-rivera-entre-los-nominados-a-mejor-orador-del-parlamento_207638102" TargetMode="External"/><Relationship Id="rId1144" Type="http://schemas.openxmlformats.org/officeDocument/2006/relationships/hyperlink" Target="http://pic.twitter.com/0xEXOCNFMU" TargetMode="External"/><Relationship Id="rId1351" Type="http://schemas.openxmlformats.org/officeDocument/2006/relationships/hyperlink" Target="https://pbs.twimg.com/media/DtsACkPXgAAlHFy.jpg" TargetMode="External"/><Relationship Id="rId1449" Type="http://schemas.openxmlformats.org/officeDocument/2006/relationships/hyperlink" Target="http://www.gabrielrufian.cat/" TargetMode="External"/><Relationship Id="rId1796" Type="http://schemas.openxmlformats.org/officeDocument/2006/relationships/hyperlink" Target="https://www.20minutos.es/noticia/3508559/0/albert-rivera-defender-nuestra-constitucion/?utm_source=twitter.com&amp;utm_medium=socialshare&amp;utm_campaign=mobile_web" TargetMode="External"/><Relationship Id="rId2181" Type="http://schemas.openxmlformats.org/officeDocument/2006/relationships/hyperlink" Target="https://elpais.com/internacional/2018/12/04/actualidad/1543949356_728735.html?id_externo_rsoc=TW_CC" TargetMode="External"/><Relationship Id="rId2402" Type="http://schemas.openxmlformats.org/officeDocument/2006/relationships/hyperlink" Target="https://pbs.twimg.com/media/DtmxiJZW4AIubRz.jpg" TargetMode="External"/><Relationship Id="rId88" Type="http://schemas.openxmlformats.org/officeDocument/2006/relationships/hyperlink" Target="https://www.instagram.com/_kbp__/" TargetMode="External"/><Relationship Id="rId153" Type="http://schemas.openxmlformats.org/officeDocument/2006/relationships/hyperlink" Target="http://somosecd.com/kkbwa4" TargetMode="External"/><Relationship Id="rId360" Type="http://schemas.openxmlformats.org/officeDocument/2006/relationships/hyperlink" Target="https://pbs.twimg.com/media/Dt0F5fsWkAAwlvV.jpg" TargetMode="External"/><Relationship Id="rId598" Type="http://schemas.openxmlformats.org/officeDocument/2006/relationships/hyperlink" Target="http://pic.twitter.com/tNkrg4prna" TargetMode="External"/><Relationship Id="rId819" Type="http://schemas.openxmlformats.org/officeDocument/2006/relationships/hyperlink" Target="https://youtu.be/V9YYQDqha-Q?yma57=7928758193" TargetMode="External"/><Relationship Id="rId1004" Type="http://schemas.openxmlformats.org/officeDocument/2006/relationships/hyperlink" Target="http://www.digo-yo.es/author/esparroqui/" TargetMode="External"/><Relationship Id="rId1211" Type="http://schemas.openxmlformats.org/officeDocument/2006/relationships/hyperlink" Target="https://twitter.com/InesArrimadas/status/1070410382139891714" TargetMode="External"/><Relationship Id="rId1656" Type="http://schemas.openxmlformats.org/officeDocument/2006/relationships/hyperlink" Target="http://www.cronicaglobal.com/" TargetMode="External"/><Relationship Id="rId1863" Type="http://schemas.openxmlformats.org/officeDocument/2006/relationships/hyperlink" Target="https://twitter.com/APP_Cortes/status/1070346348950679553" TargetMode="External"/><Relationship Id="rId2041" Type="http://schemas.openxmlformats.org/officeDocument/2006/relationships/hyperlink" Target="https://pbs.twimg.com/media/Dtp7sr8W4AYEE-l.jpg" TargetMode="External"/><Relationship Id="rId2279" Type="http://schemas.openxmlformats.org/officeDocument/2006/relationships/hyperlink" Target="https://twitter.com/FSerranoCastro/status/1070058259787198466" TargetMode="External"/><Relationship Id="rId2486" Type="http://schemas.openxmlformats.org/officeDocument/2006/relationships/hyperlink" Target="https://pbs.twimg.com/media/Dtl3-w8XgAAKd7l.jpg" TargetMode="External"/><Relationship Id="rId2693" Type="http://schemas.openxmlformats.org/officeDocument/2006/relationships/hyperlink" Target="https://twitter.com/Albert_Rivera/status/1069590914690179072" TargetMode="External"/><Relationship Id="rId2707" Type="http://schemas.openxmlformats.org/officeDocument/2006/relationships/hyperlink" Target="https://pbs.twimg.com/media/DtkFnfhWsAAtxiF.jpg" TargetMode="External"/><Relationship Id="rId220" Type="http://schemas.openxmlformats.org/officeDocument/2006/relationships/hyperlink" Target="https://pbs.twimg.com/media/Dt26i7sXgAg_mx5.jpg" TargetMode="External"/><Relationship Id="rId458" Type="http://schemas.openxmlformats.org/officeDocument/2006/relationships/hyperlink" Target="http://www.citizengo.org/hazteoir/pc/167099-al-psoe-ni-agua-sr-rivera?tc=tw&amp;tcid=52565786" TargetMode="External"/><Relationship Id="rId665" Type="http://schemas.openxmlformats.org/officeDocument/2006/relationships/hyperlink" Target="https://projecto2019vendre.wixsite.com/tatarlak" TargetMode="External"/><Relationship Id="rId872" Type="http://schemas.openxmlformats.org/officeDocument/2006/relationships/hyperlink" Target="https://elpais.com/politica/2018/11/28/actualidad/1543422865_729627.html" TargetMode="External"/><Relationship Id="rId1088" Type="http://schemas.openxmlformats.org/officeDocument/2006/relationships/hyperlink" Target="http://baleares.ciudadanos-cs.org/" TargetMode="External"/><Relationship Id="rId1295" Type="http://schemas.openxmlformats.org/officeDocument/2006/relationships/hyperlink" Target="https://pbs.twimg.com/media/Dtp_vkxXgAEBPCR.jpg" TargetMode="External"/><Relationship Id="rId1309" Type="http://schemas.openxmlformats.org/officeDocument/2006/relationships/hyperlink" Target="http://www.bitmomentum.com/" TargetMode="External"/><Relationship Id="rId1516" Type="http://schemas.openxmlformats.org/officeDocument/2006/relationships/hyperlink" Target="https://pbs.twimg.com/media/Dtrf4fCWkAAi3Oh.jpg" TargetMode="External"/><Relationship Id="rId1723" Type="http://schemas.openxmlformats.org/officeDocument/2006/relationships/hyperlink" Target="https://pbs.twimg.com/media/Dtp5SugW0AAX33O.jpg" TargetMode="External"/><Relationship Id="rId1930" Type="http://schemas.openxmlformats.org/officeDocument/2006/relationships/hyperlink" Target="http://www.lextres.com/" TargetMode="External"/><Relationship Id="rId2139" Type="http://schemas.openxmlformats.org/officeDocument/2006/relationships/hyperlink" Target="https://www.instagram.com/sansonberlin/" TargetMode="External"/><Relationship Id="rId2346" Type="http://schemas.openxmlformats.org/officeDocument/2006/relationships/hyperlink" Target="https://twitter.com/CapitanApio/status/1070072617556680705" TargetMode="External"/><Relationship Id="rId2553" Type="http://schemas.openxmlformats.org/officeDocument/2006/relationships/hyperlink" Target="https://cronicaglobal.elespanol.com/politica/ciudadanos-europeizacion-derechizacion_204180_102.html" TargetMode="External"/><Relationship Id="rId2760" Type="http://schemas.openxmlformats.org/officeDocument/2006/relationships/hyperlink" Target="https://pbs.twimg.com/media/DtjrvNzXcAIPyL1.jpg" TargetMode="External"/><Relationship Id="rId15" Type="http://schemas.openxmlformats.org/officeDocument/2006/relationships/hyperlink" Target="https://www.elconfidencialdigital.com/articulo/politica/albert-rivera-tiene-plan-pactar-vox-enfadar-socios-europeos/20181207212045119111.html" TargetMode="External"/><Relationship Id="rId318" Type="http://schemas.openxmlformats.org/officeDocument/2006/relationships/hyperlink" Target="https://www.galiciapress.es/texto-diario/mostrar/1274100/agreden-joven-grito-espana-llevar-camiseta-nacionalista" TargetMode="External"/><Relationship Id="rId525" Type="http://schemas.openxmlformats.org/officeDocument/2006/relationships/hyperlink" Target="https://twitter.com/iDiarioES/status/1070821111254917120" TargetMode="External"/><Relationship Id="rId732" Type="http://schemas.openxmlformats.org/officeDocument/2006/relationships/hyperlink" Target="https://youtu.be/kkG_dWoUpyc" TargetMode="External"/><Relationship Id="rId1155" Type="http://schemas.openxmlformats.org/officeDocument/2006/relationships/hyperlink" Target="https://twitter.com/EuropeElects/status/1070602399461597184" TargetMode="External"/><Relationship Id="rId1362" Type="http://schemas.openxmlformats.org/officeDocument/2006/relationships/hyperlink" Target="http://matias.alonsodepedro.net/" TargetMode="External"/><Relationship Id="rId2192" Type="http://schemas.openxmlformats.org/officeDocument/2006/relationships/hyperlink" Target="https://www.google.es/amp/s/m.publico.es/politica/albert-rivera-dispuesto-no-credibilidad.html/amp" TargetMode="External"/><Relationship Id="rId2206" Type="http://schemas.openxmlformats.org/officeDocument/2006/relationships/hyperlink" Target="https://www.alertanacional.es/" TargetMode="External"/><Relationship Id="rId2413" Type="http://schemas.openxmlformats.org/officeDocument/2006/relationships/hyperlink" Target="http://mdia.st/directo4" TargetMode="External"/><Relationship Id="rId2620" Type="http://schemas.openxmlformats.org/officeDocument/2006/relationships/hyperlink" Target="http://www.ciudadanos-cs.org/" TargetMode="External"/><Relationship Id="rId99" Type="http://schemas.openxmlformats.org/officeDocument/2006/relationships/hyperlink" Target="http://cantabria.ciudadanos-cs.org/" TargetMode="External"/><Relationship Id="rId164" Type="http://schemas.openxmlformats.org/officeDocument/2006/relationships/hyperlink" Target="https://twitter.com/gouvernementfr/status/1070963833009782784" TargetMode="External"/><Relationship Id="rId371" Type="http://schemas.openxmlformats.org/officeDocument/2006/relationships/hyperlink" Target="https://pbs.twimg.com/media/Dtz-pdNWsAEql4b.jpg" TargetMode="External"/><Relationship Id="rId1015" Type="http://schemas.openxmlformats.org/officeDocument/2006/relationships/hyperlink" Target="https://okdiario.com/espana/madrid/2018/12/05/cs-pacta-psoe-podemos-librar-sanchez-explicar-tesis-fake-asamblea-madrid-3432942" TargetMode="External"/><Relationship Id="rId1222" Type="http://schemas.openxmlformats.org/officeDocument/2006/relationships/hyperlink" Target="https://pbs.twimg.com/media/Dtt5O7ZU0AEvIX_.jpg" TargetMode="External"/><Relationship Id="rId1667" Type="http://schemas.openxmlformats.org/officeDocument/2006/relationships/hyperlink" Target="https://www.youtube.com/watch?v=wtfnQbyHV40" TargetMode="External"/><Relationship Id="rId1874" Type="http://schemas.openxmlformats.org/officeDocument/2006/relationships/hyperlink" Target="https://www.elnacional.cat/es/politica/choque-albert-rivera-manuel-valls-corresponsal-le-figaro_331953_102.html" TargetMode="External"/><Relationship Id="rId2052" Type="http://schemas.openxmlformats.org/officeDocument/2006/relationships/hyperlink" Target="http://okdiario.com/" TargetMode="External"/><Relationship Id="rId2497" Type="http://schemas.openxmlformats.org/officeDocument/2006/relationships/hyperlink" Target="https://pbs.twimg.com/media/DtmAzgYWsAAR-oK.jpg" TargetMode="External"/><Relationship Id="rId2718" Type="http://schemas.openxmlformats.org/officeDocument/2006/relationships/hyperlink" Target="https://micolumnablog.wordpress.com/" TargetMode="External"/><Relationship Id="rId469" Type="http://schemas.openxmlformats.org/officeDocument/2006/relationships/hyperlink" Target="http://canariasenhora.com/" TargetMode="External"/><Relationship Id="rId676" Type="http://schemas.openxmlformats.org/officeDocument/2006/relationships/hyperlink" Target="http://canarias.ciudadanos-cs.org/" TargetMode="External"/><Relationship Id="rId883" Type="http://schemas.openxmlformats.org/officeDocument/2006/relationships/hyperlink" Target="https://www.youtube.com/channel/UCzAeV22GnQxwUBokDOEyb4A" TargetMode="External"/><Relationship Id="rId1099" Type="http://schemas.openxmlformats.org/officeDocument/2006/relationships/hyperlink" Target="http://www.rtve.es/noticias/mas-24/" TargetMode="External"/><Relationship Id="rId1527" Type="http://schemas.openxmlformats.org/officeDocument/2006/relationships/hyperlink" Target="http://instagram.com/__natoly__" TargetMode="External"/><Relationship Id="rId1734" Type="http://schemas.openxmlformats.org/officeDocument/2006/relationships/hyperlink" Target="https://twitter.com/Albert_Rivera/status/1070318510604210176" TargetMode="External"/><Relationship Id="rId1941" Type="http://schemas.openxmlformats.org/officeDocument/2006/relationships/hyperlink" Target="https://www.antena3.com/noticias/espana/psoe-mantiene-como-primera-fuerza-puntos-ventaja-que-coloca-como-segunda-opcion_201812055c07c1a00cf21af4301aee1d.html" TargetMode="External"/><Relationship Id="rId2357" Type="http://schemas.openxmlformats.org/officeDocument/2006/relationships/hyperlink" Target="https://www.20minutos.es/" TargetMode="External"/><Relationship Id="rId2564" Type="http://schemas.openxmlformats.org/officeDocument/2006/relationships/hyperlink" Target="https://pbs.twimg.com/media/DtlLr9ZWkAEYPcD.jpg" TargetMode="External"/><Relationship Id="rId26" Type="http://schemas.openxmlformats.org/officeDocument/2006/relationships/hyperlink" Target="http://pic.twitter.com/BdkKoljKy0" TargetMode="External"/><Relationship Id="rId231" Type="http://schemas.openxmlformats.org/officeDocument/2006/relationships/hyperlink" Target="https://www.elplural.com/politica/lo-nunca-contado-de-la-intima-amistad-entre-albert-rivera-y-santiago-abascal_207666102" TargetMode="External"/><Relationship Id="rId329" Type="http://schemas.openxmlformats.org/officeDocument/2006/relationships/hyperlink" Target="https://www.elmundo.es/espana/2018/12/07/5c0a86be21efa0d45b8b45c9.html" TargetMode="External"/><Relationship Id="rId536" Type="http://schemas.openxmlformats.org/officeDocument/2006/relationships/hyperlink" Target="https://www.elplural.com/politica/lo-nunca-contado-de-la-intima-amistad-entre-albert-rivera-y-santiago-abascal_207666102" TargetMode="External"/><Relationship Id="rId1166" Type="http://schemas.openxmlformats.org/officeDocument/2006/relationships/hyperlink" Target="http://www.ciudadanos-cs.org/" TargetMode="External"/><Relationship Id="rId1373" Type="http://schemas.openxmlformats.org/officeDocument/2006/relationships/hyperlink" Target="http://pic.twitter.com/InSH85dag4" TargetMode="External"/><Relationship Id="rId2217" Type="http://schemas.openxmlformats.org/officeDocument/2006/relationships/hyperlink" Target="https://www.elmundo.es/pais-vasco/2018/12/05/5c06ee5f21efa089208b4777.html" TargetMode="External"/><Relationship Id="rId2771" Type="http://schemas.openxmlformats.org/officeDocument/2006/relationships/hyperlink" Target="http://enunamaleta.blogspot.com.es/?m=1" TargetMode="External"/><Relationship Id="rId175" Type="http://schemas.openxmlformats.org/officeDocument/2006/relationships/hyperlink" Target="https://elpais.com/internacional/2018/12/07/actualidad/1544214890_882576.html?id_externo_rsoc=TW_CC" TargetMode="External"/><Relationship Id="rId743" Type="http://schemas.openxmlformats.org/officeDocument/2006/relationships/hyperlink" Target="https://pbs.twimg.com/media/DtwH1xeW0AAq0pG.png" TargetMode="External"/><Relationship Id="rId950" Type="http://schemas.openxmlformats.org/officeDocument/2006/relationships/hyperlink" Target="https://www.facebook.com/pages/Fans-de-Nata-Crespo/175113679168414?ref=stream" TargetMode="External"/><Relationship Id="rId1026" Type="http://schemas.openxmlformats.org/officeDocument/2006/relationships/hyperlink" Target="http://thesustainabilityreader.com/" TargetMode="External"/><Relationship Id="rId1580" Type="http://schemas.openxmlformats.org/officeDocument/2006/relationships/hyperlink" Target="https://www.europapress.es/catalunya/noticia-albert-rivera-asegura-mejor-reforma-constitucion-aplicarla-pide-consensos-20181205203822.html" TargetMode="External"/><Relationship Id="rId1678" Type="http://schemas.openxmlformats.org/officeDocument/2006/relationships/hyperlink" Target="https://twitter.com/RobertooFinch/status/1070324733462364161" TargetMode="External"/><Relationship Id="rId1801" Type="http://schemas.openxmlformats.org/officeDocument/2006/relationships/hyperlink" Target="http://www.bitmomentum.com/" TargetMode="External"/><Relationship Id="rId1885" Type="http://schemas.openxmlformats.org/officeDocument/2006/relationships/hyperlink" Target="https://www.youtube.com/watch?v=wFA6tZ4silk" TargetMode="External"/><Relationship Id="rId2424" Type="http://schemas.openxmlformats.org/officeDocument/2006/relationships/hyperlink" Target="http://jaumesolerserra.blogspot.com/" TargetMode="External"/><Relationship Id="rId2631" Type="http://schemas.openxmlformats.org/officeDocument/2006/relationships/hyperlink" Target="https://youtu.be/0n09XaMFYpg" TargetMode="External"/><Relationship Id="rId2729" Type="http://schemas.openxmlformats.org/officeDocument/2006/relationships/hyperlink" Target="https://www.instagram.com/arezno/" TargetMode="External"/><Relationship Id="rId382" Type="http://schemas.openxmlformats.org/officeDocument/2006/relationships/hyperlink" Target="https://twitter.com/jordi_canyas/status/1071034360919408640" TargetMode="External"/><Relationship Id="rId603" Type="http://schemas.openxmlformats.org/officeDocument/2006/relationships/hyperlink" Target="https://www.mundiario.com/articulo/politica/casado-ofrecer-consejerias-vox-excluirlo-negociacion/20181206212826140000.html" TargetMode="External"/><Relationship Id="rId687" Type="http://schemas.openxmlformats.org/officeDocument/2006/relationships/hyperlink" Target="http://youtu.be/xDprs49mKSc?a" TargetMode="External"/><Relationship Id="rId810" Type="http://schemas.openxmlformats.org/officeDocument/2006/relationships/hyperlink" Target="https://abogadosdefamiliar.wordpress.com/" TargetMode="External"/><Relationship Id="rId908" Type="http://schemas.openxmlformats.org/officeDocument/2006/relationships/hyperlink" Target="https://twitter.com/Albert_Rivera/status/1070318510604210176" TargetMode="External"/><Relationship Id="rId1233" Type="http://schemas.openxmlformats.org/officeDocument/2006/relationships/hyperlink" Target="https://goo.gl/kQU6U7?akf83=1911986835" TargetMode="External"/><Relationship Id="rId1440" Type="http://schemas.openxmlformats.org/officeDocument/2006/relationships/hyperlink" Target="https://pbs.twimg.com/media/Dtrrm7CWsAoPawU.jpg" TargetMode="External"/><Relationship Id="rId1538" Type="http://schemas.openxmlformats.org/officeDocument/2006/relationships/hyperlink" Target="https://pbs.twimg.com/media/DtrdDCmWsAQHTve.jpg" TargetMode="External"/><Relationship Id="rId2063" Type="http://schemas.openxmlformats.org/officeDocument/2006/relationships/hyperlink" Target="http://www.okdiario.com/" TargetMode="External"/><Relationship Id="rId2270" Type="http://schemas.openxmlformats.org/officeDocument/2006/relationships/hyperlink" Target="https://lafuerzadelsur.wordpress.com/" TargetMode="External"/><Relationship Id="rId2368" Type="http://schemas.openxmlformats.org/officeDocument/2006/relationships/hyperlink" Target="https://m.eldiario.es/rastreador/Monde-advierte-Ciudadanos-Casado-normalizar-extrema-derecha_6_842775750.html" TargetMode="External"/><Relationship Id="rId242" Type="http://schemas.openxmlformats.org/officeDocument/2006/relationships/hyperlink" Target="https://www.libertaddigital.com/espana/politica/2018-12-06/casado-abre-ya-la-negociacion-con-rivera-sobre-andalucia-el-objetivo-pacto-global-antes-del-27d-1276629490/" TargetMode="External"/><Relationship Id="rId894" Type="http://schemas.openxmlformats.org/officeDocument/2006/relationships/hyperlink" Target="http://partidorepes.wordpress.com/" TargetMode="External"/><Relationship Id="rId1177" Type="http://schemas.openxmlformats.org/officeDocument/2006/relationships/hyperlink" Target="http://mediterraneo.diario16.com/rivera-muestra-la-patita-joseantoniana/" TargetMode="External"/><Relationship Id="rId1300" Type="http://schemas.openxmlformats.org/officeDocument/2006/relationships/hyperlink" Target="http://press.archez.com/" TargetMode="External"/><Relationship Id="rId1745" Type="http://schemas.openxmlformats.org/officeDocument/2006/relationships/hyperlink" Target="http://societatcivilcatalana.cat/" TargetMode="External"/><Relationship Id="rId1952" Type="http://schemas.openxmlformats.org/officeDocument/2006/relationships/hyperlink" Target="https://pbs.twimg.com/media/DtqQjX8X4AIxcAV.jpg" TargetMode="External"/><Relationship Id="rId2130" Type="http://schemas.openxmlformats.org/officeDocument/2006/relationships/hyperlink" Target="https://www.20minutos.es/noticia/3508559/0/albert-rivera-defender-nuestra-constitucion/?utm_source=twitter.com&amp;utm_medium=socialshare&amp;utm_campaign=mobile_web" TargetMode="External"/><Relationship Id="rId2575" Type="http://schemas.openxmlformats.org/officeDocument/2006/relationships/hyperlink" Target="https://pbs.twimg.com/media/DtlAd_nUwAA1Rq5.jpg" TargetMode="External"/><Relationship Id="rId2782" Type="http://schemas.openxmlformats.org/officeDocument/2006/relationships/hyperlink" Target="http://teia.ciudadanos-cs.org/" TargetMode="External"/><Relationship Id="rId37" Type="http://schemas.openxmlformats.org/officeDocument/2006/relationships/hyperlink" Target="https://twitter.com/miguel_prat/status/1071379668484399104" TargetMode="External"/><Relationship Id="rId102" Type="http://schemas.openxmlformats.org/officeDocument/2006/relationships/hyperlink" Target="http://www.editorialrasche.es/libros/que-es-realmente-bitcoin" TargetMode="External"/><Relationship Id="rId547" Type="http://schemas.openxmlformats.org/officeDocument/2006/relationships/hyperlink" Target="https://pbs.twimg.com/media/DtzCJo3XcAAmLqc.jpg" TargetMode="External"/><Relationship Id="rId754" Type="http://schemas.openxmlformats.org/officeDocument/2006/relationships/hyperlink" Target="http://www.noticias24horas.com/albert-rivera-tan-dulce/" TargetMode="External"/><Relationship Id="rId961" Type="http://schemas.openxmlformats.org/officeDocument/2006/relationships/hyperlink" Target="http://about.me/ssigfrrido" TargetMode="External"/><Relationship Id="rId1384" Type="http://schemas.openxmlformats.org/officeDocument/2006/relationships/hyperlink" Target="https://www.elespanol.com/espana/politica/20181204/podemos-no-permitir-cs-gobierne-andalucia-vox/358214715_0.html" TargetMode="External"/><Relationship Id="rId1591" Type="http://schemas.openxmlformats.org/officeDocument/2006/relationships/hyperlink" Target="https://www.facebook.com/EclipsePrensa/photos/a.1595701137134938/2039584146079966/?type=3&amp;permPage=1" TargetMode="External"/><Relationship Id="rId1605" Type="http://schemas.openxmlformats.org/officeDocument/2006/relationships/hyperlink" Target="http://pic.twitter.com/yjDWQogQjS" TargetMode="External"/><Relationship Id="rId1689" Type="http://schemas.openxmlformats.org/officeDocument/2006/relationships/hyperlink" Target="https://www.facebook.com/pages/JuntsPelS%C3%AD/1628836887393737" TargetMode="External"/><Relationship Id="rId1812" Type="http://schemas.openxmlformats.org/officeDocument/2006/relationships/hyperlink" Target="https://pbs.twimg.com/media/DtqlpU3WoAEyQVd.jpg" TargetMode="External"/><Relationship Id="rId2228" Type="http://schemas.openxmlformats.org/officeDocument/2006/relationships/hyperlink" Target="https://twitter.com/martinidemar/status/1070027230447841280" TargetMode="External"/><Relationship Id="rId2435" Type="http://schemas.openxmlformats.org/officeDocument/2006/relationships/hyperlink" Target="https://twitter.com/Luisiyoh/status/1069964258073632770" TargetMode="External"/><Relationship Id="rId2642" Type="http://schemas.openxmlformats.org/officeDocument/2006/relationships/hyperlink" Target="https://www.eldiario.es/politica/Vox-Andalucia-PP-Ciudadanos-estrategia_0_842366447.html" TargetMode="External"/><Relationship Id="rId90" Type="http://schemas.openxmlformats.org/officeDocument/2006/relationships/hyperlink" Target="https://pbs.twimg.com/media/Dt5DHf1WoAAgimU.jpg" TargetMode="External"/><Relationship Id="rId186" Type="http://schemas.openxmlformats.org/officeDocument/2006/relationships/hyperlink" Target="https://m.publico.es/economia/2071704/la-corrupcion-hace-que-espana-pierda-mas-90000-millones-al-ano" TargetMode="External"/><Relationship Id="rId393" Type="http://schemas.openxmlformats.org/officeDocument/2006/relationships/hyperlink" Target="http://pic.twitter.com/TboKWuMYiS" TargetMode="External"/><Relationship Id="rId407" Type="http://schemas.openxmlformats.org/officeDocument/2006/relationships/hyperlink" Target="https://www.youtube.com/watch?v=kkG_dWoUpyc&amp;utm_source=dlvr.it&amp;utm_medium=twitter" TargetMode="External"/><Relationship Id="rId614" Type="http://schemas.openxmlformats.org/officeDocument/2006/relationships/hyperlink" Target="http://www.joseluisportela.com/" TargetMode="External"/><Relationship Id="rId821" Type="http://schemas.openxmlformats.org/officeDocument/2006/relationships/hyperlink" Target="http://www.ciudadanos-cs.org/" TargetMode="External"/><Relationship Id="rId1037" Type="http://schemas.openxmlformats.org/officeDocument/2006/relationships/hyperlink" Target="https://elpais.com/politica/2018/11/28/actualidad/1543422865_729627.html" TargetMode="External"/><Relationship Id="rId1244" Type="http://schemas.openxmlformats.org/officeDocument/2006/relationships/hyperlink" Target="http://dlvr.it/Qsxtb5" TargetMode="External"/><Relationship Id="rId1451" Type="http://schemas.openxmlformats.org/officeDocument/2006/relationships/hyperlink" Target="http://pic.twitter.com/v6JO0qbfPP" TargetMode="External"/><Relationship Id="rId1896" Type="http://schemas.openxmlformats.org/officeDocument/2006/relationships/hyperlink" Target="http://pic.twitter.com/XvvKbdu0Ur" TargetMode="External"/><Relationship Id="rId2074" Type="http://schemas.openxmlformats.org/officeDocument/2006/relationships/hyperlink" Target="https://pbs.twimg.com/media/Dtp3iHwVAAAXm7y.jpg" TargetMode="External"/><Relationship Id="rId2281" Type="http://schemas.openxmlformats.org/officeDocument/2006/relationships/hyperlink" Target="http://www.cursosantiestres.com/" TargetMode="External"/><Relationship Id="rId2502" Type="http://schemas.openxmlformats.org/officeDocument/2006/relationships/hyperlink" Target="http://myreverseblog.wordpress.com/" TargetMode="External"/><Relationship Id="rId253" Type="http://schemas.openxmlformats.org/officeDocument/2006/relationships/hyperlink" Target="https://www.huffingtonpost.es/2018/12/07/el-dardo-de-bertin-osborne-a-gabriel-rufian-y-pablo-iglesias-espana-es-el-pais-con-mas-politicos-idiotas-por-metro-cuadrado_a_23611885/?ncid=other_twitter_cooo9wqtham&amp;utm_campaign=share_twitter" TargetMode="External"/><Relationship Id="rId460" Type="http://schemas.openxmlformats.org/officeDocument/2006/relationships/hyperlink" Target="http://meteko.blogspot.com/" TargetMode="External"/><Relationship Id="rId698" Type="http://schemas.openxmlformats.org/officeDocument/2006/relationships/hyperlink" Target="https://m.eldiario.es/politica/falso-mito-Transicion-incruenta_0_843066416.html" TargetMode="External"/><Relationship Id="rId919" Type="http://schemas.openxmlformats.org/officeDocument/2006/relationships/hyperlink" Target="http://partidorepes.wordpress.com/" TargetMode="External"/><Relationship Id="rId1090" Type="http://schemas.openxmlformats.org/officeDocument/2006/relationships/hyperlink" Target="http://pic.twitter.com/llrRyuaJlr" TargetMode="External"/><Relationship Id="rId1104" Type="http://schemas.openxmlformats.org/officeDocument/2006/relationships/hyperlink" Target="http://www.linkedin.com/profile/view?id=90216387&amp;trk=vsrp_people_pivotbar_coc_photo&amp;trkInfo=searchId" TargetMode="External"/><Relationship Id="rId1311" Type="http://schemas.openxmlformats.org/officeDocument/2006/relationships/hyperlink" Target="http://pic.twitter.com/vl8qAK80q7" TargetMode="External"/><Relationship Id="rId1549" Type="http://schemas.openxmlformats.org/officeDocument/2006/relationships/hyperlink" Target="https://amp.elmundo.es/cataluna/2018/12/05/5c07ea1bfdddffd5598b4752.html" TargetMode="External"/><Relationship Id="rId1756" Type="http://schemas.openxmlformats.org/officeDocument/2006/relationships/hyperlink" Target="http://ver.trecetv.es/ro2oe1" TargetMode="External"/><Relationship Id="rId1963" Type="http://schemas.openxmlformats.org/officeDocument/2006/relationships/hyperlink" Target="https://pbs.twimg.com/media/DtqC0u1XcAEewKh.jpg" TargetMode="External"/><Relationship Id="rId2141" Type="http://schemas.openxmlformats.org/officeDocument/2006/relationships/hyperlink" Target="http://www.ciudadanos-cs.org/" TargetMode="External"/><Relationship Id="rId2379" Type="http://schemas.openxmlformats.org/officeDocument/2006/relationships/hyperlink" Target="http://notengoweb.com/" TargetMode="External"/><Relationship Id="rId2586" Type="http://schemas.openxmlformats.org/officeDocument/2006/relationships/hyperlink" Target="http://www.citizengo.org/hazteoir/pc/167099-al-psoe-ni-agua-sr-rivera?tc=wp&amp;tcid=52510391" TargetMode="External"/><Relationship Id="rId48" Type="http://schemas.openxmlformats.org/officeDocument/2006/relationships/hyperlink" Target="http://mediterraneo.diario16.com/la-mala-leche-albert-rivera-sanchismo/" TargetMode="External"/><Relationship Id="rId113" Type="http://schemas.openxmlformats.org/officeDocument/2006/relationships/hyperlink" Target="http://www.gonzalodiez.com/" TargetMode="External"/><Relationship Id="rId320" Type="http://schemas.openxmlformats.org/officeDocument/2006/relationships/hyperlink" Target="http://www.instagram.com/inma_vega" TargetMode="External"/><Relationship Id="rId558" Type="http://schemas.openxmlformats.org/officeDocument/2006/relationships/hyperlink" Target="https://pbs.twimg.com/media/Dty1LykX4AASjDv.jpg" TargetMode="External"/><Relationship Id="rId765" Type="http://schemas.openxmlformats.org/officeDocument/2006/relationships/hyperlink" Target="http://guadalajara.ciudadanos-cs.org/" TargetMode="External"/><Relationship Id="rId972" Type="http://schemas.openxmlformats.org/officeDocument/2006/relationships/hyperlink" Target="http://pic.twitter.com/F8BVjcUHhn" TargetMode="External"/><Relationship Id="rId1188" Type="http://schemas.openxmlformats.org/officeDocument/2006/relationships/hyperlink" Target="https://www.elplural.com/politica/vox-exige-a-pp-y-cs-que-andalucia-deje-de-ser-una-realidad-nacional_207636102" TargetMode="External"/><Relationship Id="rId1395" Type="http://schemas.openxmlformats.org/officeDocument/2006/relationships/hyperlink" Target="https://twitter.com/HispaniaFortius" TargetMode="External"/><Relationship Id="rId1409" Type="http://schemas.openxmlformats.org/officeDocument/2006/relationships/hyperlink" Target="https://pbs.twimg.com/media/DtrvdAvXgAACWf3.jpg" TargetMode="External"/><Relationship Id="rId1616" Type="http://schemas.openxmlformats.org/officeDocument/2006/relationships/hyperlink" Target="http://theobjective.com/" TargetMode="External"/><Relationship Id="rId1823" Type="http://schemas.openxmlformats.org/officeDocument/2006/relationships/hyperlink" Target="http://www.gppopular.es/diputados/ana-belen-vazquez/" TargetMode="External"/><Relationship Id="rId2001" Type="http://schemas.openxmlformats.org/officeDocument/2006/relationships/hyperlink" Target="https://pbs.twimg.com/media/DtpufRNW0AAXWvS.jpg" TargetMode="External"/><Relationship Id="rId2239" Type="http://schemas.openxmlformats.org/officeDocument/2006/relationships/hyperlink" Target="http://marcosparadinas.com/" TargetMode="External"/><Relationship Id="rId2446" Type="http://schemas.openxmlformats.org/officeDocument/2006/relationships/hyperlink" Target="http://arrebol-guadalajara.blogspot.com.es/" TargetMode="External"/><Relationship Id="rId2653" Type="http://schemas.openxmlformats.org/officeDocument/2006/relationships/hyperlink" Target="http://pic.twitter.com/BWKv7228Np" TargetMode="External"/><Relationship Id="rId197" Type="http://schemas.openxmlformats.org/officeDocument/2006/relationships/hyperlink" Target="http://unosapuntesalmargen.blogspot.com.es/" TargetMode="External"/><Relationship Id="rId418" Type="http://schemas.openxmlformats.org/officeDocument/2006/relationships/hyperlink" Target="https://pbs.twimg.com/media/Dt0GwSHXcAAeGEm.jpg" TargetMode="External"/><Relationship Id="rId625" Type="http://schemas.openxmlformats.org/officeDocument/2006/relationships/hyperlink" Target="https://twitter.com/poloniatv3/status/1070794599474585600" TargetMode="External"/><Relationship Id="rId832" Type="http://schemas.openxmlformats.org/officeDocument/2006/relationships/hyperlink" Target="http://pic.twitter.com/0xEXOCNFMU" TargetMode="External"/><Relationship Id="rId1048" Type="http://schemas.openxmlformats.org/officeDocument/2006/relationships/hyperlink" Target="https://pbs.twimg.com/media/Dtuo6ppXgAMBWL6.jpg" TargetMode="External"/><Relationship Id="rId1255" Type="http://schemas.openxmlformats.org/officeDocument/2006/relationships/hyperlink" Target="http://lrzn.es/gt8bv3" TargetMode="External"/><Relationship Id="rId1462" Type="http://schemas.openxmlformats.org/officeDocument/2006/relationships/hyperlink" Target="http://sumuspopulus.blogspot.com.es/" TargetMode="External"/><Relationship Id="rId2085" Type="http://schemas.openxmlformats.org/officeDocument/2006/relationships/hyperlink" Target="http://www.ciudadanos-cs.org/" TargetMode="External"/><Relationship Id="rId2292" Type="http://schemas.openxmlformats.org/officeDocument/2006/relationships/hyperlink" Target="http://pic.twitter.com/BWKv7228Np" TargetMode="External"/><Relationship Id="rId2306" Type="http://schemas.openxmlformats.org/officeDocument/2006/relationships/hyperlink" Target="https://www.vozpopuli.com/_4756f6bc" TargetMode="External"/><Relationship Id="rId2513" Type="http://schemas.openxmlformats.org/officeDocument/2006/relationships/hyperlink" Target="https://pbs.twimg.com/media/Dtl23edWsAA_t7j.jpg" TargetMode="External"/><Relationship Id="rId264" Type="http://schemas.openxmlformats.org/officeDocument/2006/relationships/hyperlink" Target="https://pbs.twimg.com/media/Dt17XjwXQAIw5y-.jpg" TargetMode="External"/><Relationship Id="rId471" Type="http://schemas.openxmlformats.org/officeDocument/2006/relationships/hyperlink" Target="http://canarias.ciudadanos-cs.org/" TargetMode="External"/><Relationship Id="rId1115" Type="http://schemas.openxmlformats.org/officeDocument/2006/relationships/hyperlink" Target="http://instagram.com/maria_quilezv/" TargetMode="External"/><Relationship Id="rId1322" Type="http://schemas.openxmlformats.org/officeDocument/2006/relationships/hyperlink" Target="http://noticiasvenezuela.org/" TargetMode="External"/><Relationship Id="rId1767" Type="http://schemas.openxmlformats.org/officeDocument/2006/relationships/hyperlink" Target="https://www.elmundo.es/espana/2018/12/05/5c07d10afc6c83de3f8b475c.html" TargetMode="External"/><Relationship Id="rId1974" Type="http://schemas.openxmlformats.org/officeDocument/2006/relationships/hyperlink" Target="https://goo.gl/RUcPJF?swe68=4938961468" TargetMode="External"/><Relationship Id="rId2152" Type="http://schemas.openxmlformats.org/officeDocument/2006/relationships/hyperlink" Target="https://pbs.twimg.com/media/DtphrDbWsAAsM1e.jpg" TargetMode="External"/><Relationship Id="rId2597" Type="http://schemas.openxmlformats.org/officeDocument/2006/relationships/hyperlink" Target="https://www.eldiario.es/rastreador/Klux-Klan-Vox-Reconquista-Andalucia_6_842775724.html" TargetMode="External"/><Relationship Id="rId2720" Type="http://schemas.openxmlformats.org/officeDocument/2006/relationships/hyperlink" Target="http://www.elnacional.cat/es/" TargetMode="External"/><Relationship Id="rId59" Type="http://schemas.openxmlformats.org/officeDocument/2006/relationships/hyperlink" Target="http://pic.twitter.com/U1PgeJeKjL" TargetMode="External"/><Relationship Id="rId124" Type="http://schemas.openxmlformats.org/officeDocument/2006/relationships/hyperlink" Target="https://pbs.twimg.com/media/Dt4zoRkXgAADQw7.jpg" TargetMode="External"/><Relationship Id="rId569" Type="http://schemas.openxmlformats.org/officeDocument/2006/relationships/hyperlink" Target="http://www.facebook.com/ToninoGuitian" TargetMode="External"/><Relationship Id="rId776" Type="http://schemas.openxmlformats.org/officeDocument/2006/relationships/hyperlink" Target="https://www.youtube.com/watch?v=HSwoOAA8UIs" TargetMode="External"/><Relationship Id="rId983" Type="http://schemas.openxmlformats.org/officeDocument/2006/relationships/hyperlink" Target="https://twitter.com/Albert_Rivera/status/1070427138782826498" TargetMode="External"/><Relationship Id="rId1199" Type="http://schemas.openxmlformats.org/officeDocument/2006/relationships/hyperlink" Target="https://www.elmundo.es/espana/2018/12/05/5c07d10afc6c83de3f8b475c.html" TargetMode="External"/><Relationship Id="rId1627" Type="http://schemas.openxmlformats.org/officeDocument/2006/relationships/hyperlink" Target="https://www.eldiario.es/politica/Albert_Rivera-Ciudadanos-Andalucia-pactos-PP-Vox_0_843065834.html" TargetMode="External"/><Relationship Id="rId1834" Type="http://schemas.openxmlformats.org/officeDocument/2006/relationships/hyperlink" Target="https://pbs.twimg.com/media/Dtqp4b4X4AAhcEF.jpg" TargetMode="External"/><Relationship Id="rId2457" Type="http://schemas.openxmlformats.org/officeDocument/2006/relationships/hyperlink" Target="https://pbs.twimg.com/media/DtmQcpbWwAAM9aZ.jpg" TargetMode="External"/><Relationship Id="rId2664" Type="http://schemas.openxmlformats.org/officeDocument/2006/relationships/hyperlink" Target="http://spainonymous.tumblr.com/" TargetMode="External"/><Relationship Id="rId331" Type="http://schemas.openxmlformats.org/officeDocument/2006/relationships/hyperlink" Target="https://www.elplural.com/politica/lo-nunca-contado-de-la-intima-amistad-entre-albert-rivera-y-santiago-abascal_207666102" TargetMode="External"/><Relationship Id="rId429" Type="http://schemas.openxmlformats.org/officeDocument/2006/relationships/hyperlink" Target="http://www.citizengo.org/hazteoir/pc/167099-al-psoe-ni-agua-sr-rivera?tc=tw&amp;tcid=52566926" TargetMode="External"/><Relationship Id="rId636" Type="http://schemas.openxmlformats.org/officeDocument/2006/relationships/hyperlink" Target="https://www.elplural.com/politica/lo-nunca-contado-de-la-intima-amistad-entre-albert-rivera-y-santiago-abascal_207666102" TargetMode="External"/><Relationship Id="rId1059" Type="http://schemas.openxmlformats.org/officeDocument/2006/relationships/hyperlink" Target="http://youtu.be/-k0Qyg3yM6c?a" TargetMode="External"/><Relationship Id="rId1266" Type="http://schemas.openxmlformats.org/officeDocument/2006/relationships/hyperlink" Target="https://okdiario.com/espana/madrid/2018/12/05/cs-pacta-psoe-podemos-librar-sanchez-explicar-tesis-fake-asamblea-madrid-3432942" TargetMode="External"/><Relationship Id="rId1473" Type="http://schemas.openxmlformats.org/officeDocument/2006/relationships/hyperlink" Target="http://bit.ly/2E4jlvK" TargetMode="External"/><Relationship Id="rId2012" Type="http://schemas.openxmlformats.org/officeDocument/2006/relationships/hyperlink" Target="http://matias.alonsodepedro.net/" TargetMode="External"/><Relationship Id="rId2096" Type="http://schemas.openxmlformats.org/officeDocument/2006/relationships/hyperlink" Target="http://www.abc.es/autor/victor-ruiz-de-almiron-lopez-1435/" TargetMode="External"/><Relationship Id="rId2317" Type="http://schemas.openxmlformats.org/officeDocument/2006/relationships/hyperlink" Target="http://20minutos.es/" TargetMode="External"/><Relationship Id="rId843" Type="http://schemas.openxmlformats.org/officeDocument/2006/relationships/hyperlink" Target="http://www.dynamo.uevora.pt/" TargetMode="External"/><Relationship Id="rId1126" Type="http://schemas.openxmlformats.org/officeDocument/2006/relationships/hyperlink" Target="http://www.bitmomentum.com/" TargetMode="External"/><Relationship Id="rId1680" Type="http://schemas.openxmlformats.org/officeDocument/2006/relationships/hyperlink" Target="https://pbs.twimg.com/media/DtrEqMrV4AAz9Q5.jpg" TargetMode="External"/><Relationship Id="rId1778" Type="http://schemas.openxmlformats.org/officeDocument/2006/relationships/hyperlink" Target="https://www.20minutos.es/noticia/3508559/0/albert-rivera-defender-nuestra-constitucion/" TargetMode="External"/><Relationship Id="rId1901" Type="http://schemas.openxmlformats.org/officeDocument/2006/relationships/hyperlink" Target="https://pbs.twimg.com/media/DtqaxflWoAAIXgb.jpg" TargetMode="External"/><Relationship Id="rId1985" Type="http://schemas.openxmlformats.org/officeDocument/2006/relationships/hyperlink" Target="https://pbs.twimg.com/media/DtqLUWnWwAEPlHF.jpg" TargetMode="External"/><Relationship Id="rId2524" Type="http://schemas.openxmlformats.org/officeDocument/2006/relationships/hyperlink" Target="http://pic.twitter.com/gBLwW44vgd" TargetMode="External"/><Relationship Id="rId2731" Type="http://schemas.openxmlformats.org/officeDocument/2006/relationships/hyperlink" Target="http://www.bitmomentum.com/" TargetMode="External"/><Relationship Id="rId275" Type="http://schemas.openxmlformats.org/officeDocument/2006/relationships/hyperlink" Target="http://www.elplural.com/" TargetMode="External"/><Relationship Id="rId482" Type="http://schemas.openxmlformats.org/officeDocument/2006/relationships/hyperlink" Target="https://sevilla.abc.es/elecciones/andalucia/sevi-pp-y-quieren-cerrar-acuerdo-cambio-antes-27-diciembre-201812070919_noticia.html" TargetMode="External"/><Relationship Id="rId703" Type="http://schemas.openxmlformats.org/officeDocument/2006/relationships/hyperlink" Target="https://www.ciudadanos-cs.org/" TargetMode="External"/><Relationship Id="rId910" Type="http://schemas.openxmlformats.org/officeDocument/2006/relationships/hyperlink" Target="https://okdiario.com/espana/andalucia/2018/12/05/rivera-dispuesto-pacto-pp-sin-descartar-vox-pero-marin-presidente-3430883" TargetMode="External"/><Relationship Id="rId1333" Type="http://schemas.openxmlformats.org/officeDocument/2006/relationships/hyperlink" Target="http://a.msn.com/01/es-es/BBQwg6d?ocid=st" TargetMode="External"/><Relationship Id="rId1540" Type="http://schemas.openxmlformats.org/officeDocument/2006/relationships/hyperlink" Target="http://pic.twitter.com/H0bl5heJLI" TargetMode="External"/><Relationship Id="rId1638" Type="http://schemas.openxmlformats.org/officeDocument/2006/relationships/hyperlink" Target="https://pbs.twimg.com/media/DtrM3hTWsAEBZc0.jpg" TargetMode="External"/><Relationship Id="rId2163" Type="http://schemas.openxmlformats.org/officeDocument/2006/relationships/hyperlink" Target="http://www.hechosdehoy.com/" TargetMode="External"/><Relationship Id="rId2370" Type="http://schemas.openxmlformats.org/officeDocument/2006/relationships/hyperlink" Target="http://www.i-beristain.com/" TargetMode="External"/><Relationship Id="rId135" Type="http://schemas.openxmlformats.org/officeDocument/2006/relationships/hyperlink" Target="http://asanleo.com/" TargetMode="External"/><Relationship Id="rId342" Type="http://schemas.openxmlformats.org/officeDocument/2006/relationships/hyperlink" Target="https://ressosite.wordpress.com/" TargetMode="External"/><Relationship Id="rId787" Type="http://schemas.openxmlformats.org/officeDocument/2006/relationships/hyperlink" Target="https://pbs.twimg.com/media/Dtp-oSXWsAELUNF.jpg" TargetMode="External"/><Relationship Id="rId994" Type="http://schemas.openxmlformats.org/officeDocument/2006/relationships/hyperlink" Target="https://www.heraldo.es/noticias/nacional/2018/12/06/albert-rivera-constitucion-espanola-opinion-1281464-305.html" TargetMode="External"/><Relationship Id="rId1400" Type="http://schemas.openxmlformats.org/officeDocument/2006/relationships/hyperlink" Target="http://www.lacerca.com/noticias/espana/albert-rivera-sanchez-aliados-convertido-adversarios-defendemos-constitucion-448116-1.html" TargetMode="External"/><Relationship Id="rId1845" Type="http://schemas.openxmlformats.org/officeDocument/2006/relationships/hyperlink" Target="https://www.playgroundmag.net/now/europa-o-los-fachas-la-amnesia-disociativa-de-albert-rivera_31443293.html" TargetMode="External"/><Relationship Id="rId2023" Type="http://schemas.openxmlformats.org/officeDocument/2006/relationships/hyperlink" Target="http://pic.twitter.com/BhvDVDfFdc" TargetMode="External"/><Relationship Id="rId2230" Type="http://schemas.openxmlformats.org/officeDocument/2006/relationships/hyperlink" Target="http://20minutos.es/" TargetMode="External"/><Relationship Id="rId2468" Type="http://schemas.openxmlformats.org/officeDocument/2006/relationships/hyperlink" Target="http://esperanzaescribano.com/" TargetMode="External"/><Relationship Id="rId2675" Type="http://schemas.openxmlformats.org/officeDocument/2006/relationships/hyperlink" Target="https://twitter.com/Jose_M_Rivera_/status/1069902279384403969" TargetMode="External"/><Relationship Id="rId202" Type="http://schemas.openxmlformats.org/officeDocument/2006/relationships/hyperlink" Target="http://www.elplural.com/" TargetMode="External"/><Relationship Id="rId647" Type="http://schemas.openxmlformats.org/officeDocument/2006/relationships/hyperlink" Target="https://www.elplural.com/politica/vox-exige-a-pp-y-cs-que-andalucia-deje-de-ser-una-realidad-nacional_207636102" TargetMode="External"/><Relationship Id="rId854" Type="http://schemas.openxmlformats.org/officeDocument/2006/relationships/hyperlink" Target="https://pbs.twimg.com/media/DtvdBn6WsAAPgX-.jpg" TargetMode="External"/><Relationship Id="rId1277" Type="http://schemas.openxmlformats.org/officeDocument/2006/relationships/hyperlink" Target="https://okdiario.com/espana/andalucia/2018/12/05/rivera-dispuesto-pacto-pp-sin-descartar-vox-pero-marin-presidente-3430883?utm_campaign=ok&amp;utm_medium=Social&amp;utm_source=Facebook" TargetMode="External"/><Relationship Id="rId1484" Type="http://schemas.openxmlformats.org/officeDocument/2006/relationships/hyperlink" Target="http://ciudadanos-cs.org/" TargetMode="External"/><Relationship Id="rId1691" Type="http://schemas.openxmlformats.org/officeDocument/2006/relationships/hyperlink" Target="https://youtu.be/wtfnQbyHV40" TargetMode="External"/><Relationship Id="rId1705" Type="http://schemas.openxmlformats.org/officeDocument/2006/relationships/hyperlink" Target="http://pic.twitter.com/DD1mpzYgfh" TargetMode="External"/><Relationship Id="rId1912" Type="http://schemas.openxmlformats.org/officeDocument/2006/relationships/hyperlink" Target="http://www.diariosur.es/" TargetMode="External"/><Relationship Id="rId2328" Type="http://schemas.openxmlformats.org/officeDocument/2006/relationships/hyperlink" Target="https://pbs.twimg.com/media/DtoniSWWwAAioZX.jpg" TargetMode="External"/><Relationship Id="rId2535" Type="http://schemas.openxmlformats.org/officeDocument/2006/relationships/hyperlink" Target="https://twitter.com/JOSEMANUELSOTO1/status/1069558086392778752" TargetMode="External"/><Relationship Id="rId2742" Type="http://schemas.openxmlformats.org/officeDocument/2006/relationships/hyperlink" Target="https://youtu.be/V9YYQDqha-Q?uhs95=9158663038" TargetMode="External"/><Relationship Id="rId286" Type="http://schemas.openxmlformats.org/officeDocument/2006/relationships/hyperlink" Target="https://www.youtube.com/user/superpipo242" TargetMode="External"/><Relationship Id="rId493" Type="http://schemas.openxmlformats.org/officeDocument/2006/relationships/hyperlink" Target="https://m.europapress.es/nacional/noticia-albert-rivera-dice-izquierda-derecha-no-hay-enemigos-compatriotas-20181206113859.html" TargetMode="External"/><Relationship Id="rId507" Type="http://schemas.openxmlformats.org/officeDocument/2006/relationships/hyperlink" Target="https://pbs.twimg.com/media/DtuB5zSXcAEIju8.jpg" TargetMode="External"/><Relationship Id="rId714" Type="http://schemas.openxmlformats.org/officeDocument/2006/relationships/hyperlink" Target="http://pic.twitter.com/hNGxlsIz8P" TargetMode="External"/><Relationship Id="rId921" Type="http://schemas.openxmlformats.org/officeDocument/2006/relationships/hyperlink" Target="http://www.lasexta.com/noticias/" TargetMode="External"/><Relationship Id="rId1137" Type="http://schemas.openxmlformats.org/officeDocument/2006/relationships/hyperlink" Target="https://www.elmundo.es/espana/2018/12/05/5c07d10afc6c83de3f8b475c.html" TargetMode="External"/><Relationship Id="rId1344" Type="http://schemas.openxmlformats.org/officeDocument/2006/relationships/hyperlink" Target="http://bit.ly/2SxhKCB" TargetMode="External"/><Relationship Id="rId1551" Type="http://schemas.openxmlformats.org/officeDocument/2006/relationships/hyperlink" Target="https://www.publico.es/politica/rivera-considera-irresponsable-descartar-vox-escenarios-pacto-andalucia.html" TargetMode="External"/><Relationship Id="rId1789" Type="http://schemas.openxmlformats.org/officeDocument/2006/relationships/hyperlink" Target="http://www.elmundo.es/blogs/elmundo/mejoreducados" TargetMode="External"/><Relationship Id="rId1996" Type="http://schemas.openxmlformats.org/officeDocument/2006/relationships/hyperlink" Target="http://www.ciudadanos-cs.org/" TargetMode="External"/><Relationship Id="rId2174" Type="http://schemas.openxmlformats.org/officeDocument/2006/relationships/hyperlink" Target="https://www.instagram.com/inesarrimadas/" TargetMode="External"/><Relationship Id="rId2381" Type="http://schemas.openxmlformats.org/officeDocument/2006/relationships/hyperlink" Target="https://www.esdiario.com/300249333/Sanchez-da-lecciones-al-PP-y-Cs-sobre-socios-indeseables-en-el-colmo-del-descaro.html" TargetMode="External"/><Relationship Id="rId2602" Type="http://schemas.openxmlformats.org/officeDocument/2006/relationships/hyperlink" Target="https://pbs.twimg.com/media/Dtk6muAX4AI1m29.jpg" TargetMode="External"/><Relationship Id="rId50" Type="http://schemas.openxmlformats.org/officeDocument/2006/relationships/hyperlink" Target="http://pic.twitter.com/JskLofyX3G" TargetMode="External"/><Relationship Id="rId146" Type="http://schemas.openxmlformats.org/officeDocument/2006/relationships/hyperlink" Target="http://traslamascara.com/" TargetMode="External"/><Relationship Id="rId353" Type="http://schemas.openxmlformats.org/officeDocument/2006/relationships/hyperlink" Target="https://twitter.com/Obs_Violences/status/1070768467907919872" TargetMode="External"/><Relationship Id="rId560" Type="http://schemas.openxmlformats.org/officeDocument/2006/relationships/hyperlink" Target="https://www.elplural.com/politica/lo-nunca-contado-de-la-intima-amistad-entre-albert-rivera-y-santiago-abascal_207666102" TargetMode="External"/><Relationship Id="rId798" Type="http://schemas.openxmlformats.org/officeDocument/2006/relationships/hyperlink" Target="http://www.granadadigital.es/" TargetMode="External"/><Relationship Id="rId1190" Type="http://schemas.openxmlformats.org/officeDocument/2006/relationships/hyperlink" Target="https://pbs.twimg.com/media/DtuHTXeXcAEJtRQ.jpg" TargetMode="External"/><Relationship Id="rId1204" Type="http://schemas.openxmlformats.org/officeDocument/2006/relationships/hyperlink" Target="http://jovenes.ciudadanos-cs.org/" TargetMode="External"/><Relationship Id="rId1411" Type="http://schemas.openxmlformats.org/officeDocument/2006/relationships/hyperlink" Target="https://pbs.twimg.com/media/DtrvAJ0WsAcOhyW.jpg" TargetMode="External"/><Relationship Id="rId1649" Type="http://schemas.openxmlformats.org/officeDocument/2006/relationships/hyperlink" Target="https://www.eldiario.es/_324029ea" TargetMode="External"/><Relationship Id="rId1856" Type="http://schemas.openxmlformats.org/officeDocument/2006/relationships/hyperlink" Target="http://playgroundmag.net/" TargetMode="External"/><Relationship Id="rId2034" Type="http://schemas.openxmlformats.org/officeDocument/2006/relationships/hyperlink" Target="https://www.elplural.com/politica/antes-de-vox-ciudadanos-ya-pacto-por-dinero-con-la-extrema-derecha_207579102" TargetMode="External"/><Relationship Id="rId2241" Type="http://schemas.openxmlformats.org/officeDocument/2006/relationships/hyperlink" Target="https://pbs.twimg.com/media/DtpIgh8WwAEH27_.jpg" TargetMode="External"/><Relationship Id="rId2479" Type="http://schemas.openxmlformats.org/officeDocument/2006/relationships/hyperlink" Target="https://twitter.com/Miotroyo2parte/status/1070027957551423488" TargetMode="External"/><Relationship Id="rId2686" Type="http://schemas.openxmlformats.org/officeDocument/2006/relationships/hyperlink" Target="http://calafell.ciudadanos-cs.org/" TargetMode="External"/><Relationship Id="rId213" Type="http://schemas.openxmlformats.org/officeDocument/2006/relationships/hyperlink" Target="https://goo.gl/b3cNwy?rwf61=8419215454" TargetMode="External"/><Relationship Id="rId420" Type="http://schemas.openxmlformats.org/officeDocument/2006/relationships/hyperlink" Target="http://www.alvaronaufrago.com/" TargetMode="External"/><Relationship Id="rId658" Type="http://schemas.openxmlformats.org/officeDocument/2006/relationships/hyperlink" Target="http://www.citizengo.org/hazteoir/pc/167099-al-psoe-ni-agua-sr-rivera?tc=tw&amp;tcid=52561976" TargetMode="External"/><Relationship Id="rId865" Type="http://schemas.openxmlformats.org/officeDocument/2006/relationships/hyperlink" Target="http://www.ciudadanos-cs.org/" TargetMode="External"/><Relationship Id="rId1050" Type="http://schemas.openxmlformats.org/officeDocument/2006/relationships/hyperlink" Target="https://elpais.com/politica/2018/12/05/actualidad/1543998700_343655.html" TargetMode="External"/><Relationship Id="rId1288" Type="http://schemas.openxmlformats.org/officeDocument/2006/relationships/hyperlink" Target="https://www.larazon.es/espana/rivera-ve-irresponsable-descartar-escenarios-de-pacto-incluido-con-vox-FP20851523" TargetMode="External"/><Relationship Id="rId1495" Type="http://schemas.openxmlformats.org/officeDocument/2006/relationships/hyperlink" Target="https://pbs.twimg.com/media/Dtrks-9VsAAst7Y.jpg" TargetMode="External"/><Relationship Id="rId1509" Type="http://schemas.openxmlformats.org/officeDocument/2006/relationships/hyperlink" Target="https://www.ciudadanos-cs.org/prensa/rivera-el-presidente-de-la-junta-debe-ser-limpio-con-capacidad-de-dialogo-y-que-no-pare-de-crecer/11142" TargetMode="External"/><Relationship Id="rId1716" Type="http://schemas.openxmlformats.org/officeDocument/2006/relationships/hyperlink" Target="http://pic.twitter.com/bNjYH9GSog" TargetMode="External"/><Relationship Id="rId1923" Type="http://schemas.openxmlformats.org/officeDocument/2006/relationships/hyperlink" Target="https://instagram.com/salva_escudero/" TargetMode="External"/><Relationship Id="rId2101" Type="http://schemas.openxmlformats.org/officeDocument/2006/relationships/hyperlink" Target="https://pbs.twimg.com/media/DtpkJA3XcAEL6mh.jpg" TargetMode="External"/><Relationship Id="rId2339" Type="http://schemas.openxmlformats.org/officeDocument/2006/relationships/hyperlink" Target="https://www.elmundo.es/opinion/2018/12/05/5c06b60efdddfff2538b45fe.html" TargetMode="External"/><Relationship Id="rId2546" Type="http://schemas.openxmlformats.org/officeDocument/2006/relationships/hyperlink" Target="http://thesustainabilityreader.com/" TargetMode="External"/><Relationship Id="rId2753" Type="http://schemas.openxmlformats.org/officeDocument/2006/relationships/hyperlink" Target="https://www.instagram.com/javiercorripio/" TargetMode="External"/><Relationship Id="rId297" Type="http://schemas.openxmlformats.org/officeDocument/2006/relationships/hyperlink" Target="http://www.ciudadanos-cs.org/" TargetMode="External"/><Relationship Id="rId518" Type="http://schemas.openxmlformats.org/officeDocument/2006/relationships/hyperlink" Target="http://pic.twitter.com/DBPVR33K13" TargetMode="External"/><Relationship Id="rId725" Type="http://schemas.openxmlformats.org/officeDocument/2006/relationships/hyperlink" Target="https://pbs.twimg.com/media/DtwRyl0WoAA_Jir.jpg" TargetMode="External"/><Relationship Id="rId932" Type="http://schemas.openxmlformats.org/officeDocument/2006/relationships/hyperlink" Target="https://www.elnortedecastilla.es/palencia/polaco-juzgado-maltrato-20181205220149-nt.html" TargetMode="External"/><Relationship Id="rId1148" Type="http://schemas.openxmlformats.org/officeDocument/2006/relationships/hyperlink" Target="https://pbs.twimg.com/media/DtuUEiPWwAEAS51.jpg" TargetMode="External"/><Relationship Id="rId1355" Type="http://schemas.openxmlformats.org/officeDocument/2006/relationships/hyperlink" Target="https://youtu.be/RTaLCxiU6KU" TargetMode="External"/><Relationship Id="rId1562" Type="http://schemas.openxmlformats.org/officeDocument/2006/relationships/hyperlink" Target="https://twitter.com/archillect/status/1070399921180807169" TargetMode="External"/><Relationship Id="rId2185" Type="http://schemas.openxmlformats.org/officeDocument/2006/relationships/hyperlink" Target="https://ift.tt/2QEbqvG" TargetMode="External"/><Relationship Id="rId2392" Type="http://schemas.openxmlformats.org/officeDocument/2006/relationships/hyperlink" Target="https://www.20minutos.es/" TargetMode="External"/><Relationship Id="rId2406" Type="http://schemas.openxmlformats.org/officeDocument/2006/relationships/hyperlink" Target="https://pbs.twimg.com/media/DtmqwSVXcAIOCu_.jpg" TargetMode="External"/><Relationship Id="rId2613" Type="http://schemas.openxmlformats.org/officeDocument/2006/relationships/hyperlink" Target="https://pbs.twimg.com/media/Dtk20_cWoAAJb54.jpg" TargetMode="External"/><Relationship Id="rId157" Type="http://schemas.openxmlformats.org/officeDocument/2006/relationships/hyperlink" Target="http://www.linkedin.com/in/frubira" TargetMode="External"/><Relationship Id="rId364" Type="http://schemas.openxmlformats.org/officeDocument/2006/relationships/hyperlink" Target="http://pic.twitter.com/OZfAb94mCU" TargetMode="External"/><Relationship Id="rId1008" Type="http://schemas.openxmlformats.org/officeDocument/2006/relationships/hyperlink" Target="https://twitter.com/beatrizbecerrab/status/1070589872254136320" TargetMode="External"/><Relationship Id="rId1215" Type="http://schemas.openxmlformats.org/officeDocument/2006/relationships/hyperlink" Target="https://www.ciudadanos-cs.org/" TargetMode="External"/><Relationship Id="rId1422" Type="http://schemas.openxmlformats.org/officeDocument/2006/relationships/hyperlink" Target="http://www.redaccionmedica.com/" TargetMode="External"/><Relationship Id="rId1867" Type="http://schemas.openxmlformats.org/officeDocument/2006/relationships/hyperlink" Target="http://www.plsd.es/" TargetMode="External"/><Relationship Id="rId2045" Type="http://schemas.openxmlformats.org/officeDocument/2006/relationships/hyperlink" Target="https://www.lasexta.com/noticias/nacional/elecciones-andalucia/albert-rivera-no-descarta-pactar-con-vox-en-andalucia-nos-sentaremos-con-los-partidos-constitucionalistas-para-sumar-una-mayoria-video_201811305c0128300cf21af43013edd3.html" TargetMode="External"/><Relationship Id="rId2697" Type="http://schemas.openxmlformats.org/officeDocument/2006/relationships/hyperlink" Target="http://www.alongarte.es/" TargetMode="External"/><Relationship Id="rId61" Type="http://schemas.openxmlformats.org/officeDocument/2006/relationships/hyperlink" Target="https://www.abc.es/internacional/abci-peste-chavismo-contagiado-espana-201812060233_noticia.html" TargetMode="External"/><Relationship Id="rId571" Type="http://schemas.openxmlformats.org/officeDocument/2006/relationships/hyperlink" Target="https://twitter.com/cervantesfaqs/status/1070450884839174145" TargetMode="External"/><Relationship Id="rId669" Type="http://schemas.openxmlformats.org/officeDocument/2006/relationships/hyperlink" Target="https://ciudadanossantamarta.blogspot.com.es/" TargetMode="External"/><Relationship Id="rId876" Type="http://schemas.openxmlformats.org/officeDocument/2006/relationships/hyperlink" Target="https://twitter.com/qqqqetru/status/1070168156386328576" TargetMode="External"/><Relationship Id="rId1299" Type="http://schemas.openxmlformats.org/officeDocument/2006/relationships/hyperlink" Target="https://www.elplural.com/politica/vox-exige-a-pp-y-cs-que-andalucia-deje-de-ser-una-realidad-nacional_207636102" TargetMode="External"/><Relationship Id="rId1727" Type="http://schemas.openxmlformats.org/officeDocument/2006/relationships/hyperlink" Target="https://www.lavanguardia.com/politica/20181205/453377887754/ciudadanos-albert-rivera-prioriza-pacto-pp-andalucia-irresponsable-descartar-vox-santiago-abascal.html?utm_campaign=botones_sociales_app&amp;utm_source=twitter&amp;utm_medium=social" TargetMode="External"/><Relationship Id="rId1934" Type="http://schemas.openxmlformats.org/officeDocument/2006/relationships/hyperlink" Target="https://pbs.twimg.com/media/DJlk0XBW0AAb6ot.jpg" TargetMode="External"/><Relationship Id="rId2252" Type="http://schemas.openxmlformats.org/officeDocument/2006/relationships/hyperlink" Target="https://twitter.com/Ignaciotouza/status/1069596048551743488" TargetMode="External"/><Relationship Id="rId2557" Type="http://schemas.openxmlformats.org/officeDocument/2006/relationships/hyperlink" Target="https://twitter.com/TeoGarciaEgea/status/1069627015291121667" TargetMode="External"/><Relationship Id="rId19" Type="http://schemas.openxmlformats.org/officeDocument/2006/relationships/hyperlink" Target="https://blogs.elconfidencial.com/espana/notebook/2018-12-08/vox-albert-rivera-pactos-andalucia-centro-europeista_1692818/" TargetMode="External"/><Relationship Id="rId224" Type="http://schemas.openxmlformats.org/officeDocument/2006/relationships/hyperlink" Target="http://www.citizengo.org/hazteoir/pc/167099-al-psoe-ni-agua-sr-rivera?tc=tw&amp;tcid=52577266" TargetMode="External"/><Relationship Id="rId431" Type="http://schemas.openxmlformats.org/officeDocument/2006/relationships/hyperlink" Target="http://www.citizengo.org/hazteoir/pc/167099-al-psoe-ni-agua-sr-rivera?tc=tw&amp;tcid=52566870" TargetMode="External"/><Relationship Id="rId529" Type="http://schemas.openxmlformats.org/officeDocument/2006/relationships/hyperlink" Target="https://www.elplural.com/politica/lo-nunca-contado-de-la-intima-amistad-entre-albert-rivera-y-santiago-abascal_207666102" TargetMode="External"/><Relationship Id="rId736" Type="http://schemas.openxmlformats.org/officeDocument/2006/relationships/hyperlink" Target="https://youtu.be/9SHDrx7tNHg" TargetMode="External"/><Relationship Id="rId1061" Type="http://schemas.openxmlformats.org/officeDocument/2006/relationships/hyperlink" Target="http://www.lacerca.com/noticias/espana/congreso-jueves-familia-real-expresidentes-tres-dia-constitucion-448130-1.html" TargetMode="External"/><Relationship Id="rId1159" Type="http://schemas.openxmlformats.org/officeDocument/2006/relationships/hyperlink" Target="https://twitter.com/Albert_Rivera/status/1070425503234961410" TargetMode="External"/><Relationship Id="rId1366" Type="http://schemas.openxmlformats.org/officeDocument/2006/relationships/hyperlink" Target="https://pbs.twimg.com/media/Dtr8IO2WoAMk5f0.jpg" TargetMode="External"/><Relationship Id="rId2112" Type="http://schemas.openxmlformats.org/officeDocument/2006/relationships/hyperlink" Target="https://www.youtube.com/channel/UCHhfu5p0zydyM-_nw3IJvig" TargetMode="External"/><Relationship Id="rId2196" Type="http://schemas.openxmlformats.org/officeDocument/2006/relationships/hyperlink" Target="https://www.20minutos.es/noticia/3508559/0/albert-rivera-defender-nuestra-constitucion/?utm_source=twitter.com&amp;utm_medium=socialshare&amp;utm_campaign=desktop" TargetMode="External"/><Relationship Id="rId2417" Type="http://schemas.openxmlformats.org/officeDocument/2006/relationships/hyperlink" Target="https://pbs.twimg.com/media/DtmmHKSW0AEH5I3.jpg" TargetMode="External"/><Relationship Id="rId2764" Type="http://schemas.openxmlformats.org/officeDocument/2006/relationships/hyperlink" Target="http://lalecampos.com/" TargetMode="External"/><Relationship Id="rId168" Type="http://schemas.openxmlformats.org/officeDocument/2006/relationships/hyperlink" Target="https://www.elconfidencialdigital.com/articulo/politica/albert-rivera-tiene-plan-pactar-vox-enfadar-socios-europeos/20181207212045119111.html" TargetMode="External"/><Relationship Id="rId943" Type="http://schemas.openxmlformats.org/officeDocument/2006/relationships/hyperlink" Target="https://pbs.twimg.com/media/DtvBMQkWwAAnjwl.jpg" TargetMode="External"/><Relationship Id="rId1019" Type="http://schemas.openxmlformats.org/officeDocument/2006/relationships/hyperlink" Target="http://laboratorio-mabuse.blogspot.com/" TargetMode="External"/><Relationship Id="rId1573" Type="http://schemas.openxmlformats.org/officeDocument/2006/relationships/hyperlink" Target="https://pbs.twimg.com/media/DtrWXCKWkAEOYMm.jpg" TargetMode="External"/><Relationship Id="rId1780" Type="http://schemas.openxmlformats.org/officeDocument/2006/relationships/hyperlink" Target="http://parlamento-andalucia.ciudadanos-cs.org/" TargetMode="External"/><Relationship Id="rId1878" Type="http://schemas.openxmlformats.org/officeDocument/2006/relationships/hyperlink" Target="https://pbs.twimg.com/media/DtqiG5vX4AIDumM.jpg" TargetMode="External"/><Relationship Id="rId2624" Type="http://schemas.openxmlformats.org/officeDocument/2006/relationships/hyperlink" Target="https://pbs.twimg.com/media/Dtktr-LWoAAH36c.jpg" TargetMode="External"/><Relationship Id="rId72" Type="http://schemas.openxmlformats.org/officeDocument/2006/relationships/hyperlink" Target="http://telemadrid.es/programas/la-otra-agenda/" TargetMode="External"/><Relationship Id="rId375" Type="http://schemas.openxmlformats.org/officeDocument/2006/relationships/hyperlink" Target="https://pbs.twimg.com/media/DtsDW3LW4AEwkxx.jpg" TargetMode="External"/><Relationship Id="rId582" Type="http://schemas.openxmlformats.org/officeDocument/2006/relationships/hyperlink" Target="http://dlvr.it/Qt1Y1C" TargetMode="External"/><Relationship Id="rId803" Type="http://schemas.openxmlformats.org/officeDocument/2006/relationships/hyperlink" Target="http://www.ciudadanos-cs.org/" TargetMode="External"/><Relationship Id="rId1226" Type="http://schemas.openxmlformats.org/officeDocument/2006/relationships/hyperlink" Target="http://parlamento-andalucia.ciudadanos-cs.org/" TargetMode="External"/><Relationship Id="rId1433" Type="http://schemas.openxmlformats.org/officeDocument/2006/relationships/hyperlink" Target="https://pbs.twimg.com/media/DtrsQOqWkAAeEVs.jpg" TargetMode="External"/><Relationship Id="rId1640" Type="http://schemas.openxmlformats.org/officeDocument/2006/relationships/hyperlink" Target="http://www.bitmomentum.com/" TargetMode="External"/><Relationship Id="rId1738" Type="http://schemas.openxmlformats.org/officeDocument/2006/relationships/hyperlink" Target="https://pbs.twimg.com/media/Dtq-P3-WwAApFaj.png" TargetMode="External"/><Relationship Id="rId2056" Type="http://schemas.openxmlformats.org/officeDocument/2006/relationships/hyperlink" Target="http://www.radiovalladolid.es/" TargetMode="External"/><Relationship Id="rId2263" Type="http://schemas.openxmlformats.org/officeDocument/2006/relationships/hyperlink" Target="http://www.elpais.com/" TargetMode="External"/><Relationship Id="rId2470" Type="http://schemas.openxmlformats.org/officeDocument/2006/relationships/hyperlink" Target="http://palencia.cnt.es/2018/10/06/memoria-historica-la-union-de-hermanos-proletarios-uhp-la-revoluci" TargetMode="External"/><Relationship Id="rId3" Type="http://schemas.openxmlformats.org/officeDocument/2006/relationships/hyperlink" Target="http://divulgamadrid.blogspot.com.es/" TargetMode="External"/><Relationship Id="rId235" Type="http://schemas.openxmlformats.org/officeDocument/2006/relationships/hyperlink" Target="https://www.twitch.tv/narx221x" TargetMode="External"/><Relationship Id="rId442" Type="http://schemas.openxmlformats.org/officeDocument/2006/relationships/hyperlink" Target="https://www.facebook.com/567778703298149/posts/1980126978729974/" TargetMode="External"/><Relationship Id="rId887" Type="http://schemas.openxmlformats.org/officeDocument/2006/relationships/hyperlink" Target="https://youtu.be/Ki-nKw0krwY" TargetMode="External"/><Relationship Id="rId1072" Type="http://schemas.openxmlformats.org/officeDocument/2006/relationships/hyperlink" Target="http://www.telemadrid.es/emision-en-directo/" TargetMode="External"/><Relationship Id="rId1500" Type="http://schemas.openxmlformats.org/officeDocument/2006/relationships/hyperlink" Target="http://www.lasexta.com/" TargetMode="External"/><Relationship Id="rId1945" Type="http://schemas.openxmlformats.org/officeDocument/2006/relationships/hyperlink" Target="http://albertosanzblanco.wordpress.com/" TargetMode="External"/><Relationship Id="rId2123" Type="http://schemas.openxmlformats.org/officeDocument/2006/relationships/hyperlink" Target="http://csur.red/lVZY50jRLhK" TargetMode="External"/><Relationship Id="rId2330" Type="http://schemas.openxmlformats.org/officeDocument/2006/relationships/hyperlink" Target="http://dlvr.it/Qss9Dp" TargetMode="External"/><Relationship Id="rId2568" Type="http://schemas.openxmlformats.org/officeDocument/2006/relationships/hyperlink" Target="https://www.ciudadanos-cs.org/" TargetMode="External"/><Relationship Id="rId2775" Type="http://schemas.openxmlformats.org/officeDocument/2006/relationships/hyperlink" Target="https://pbs.twimg.com/media/DtjjPVWWkAApcj6.jpg" TargetMode="External"/><Relationship Id="rId302" Type="http://schemas.openxmlformats.org/officeDocument/2006/relationships/hyperlink" Target="https://efinetika.wordpress.com/2014/07/25/rd-2162014-la-energia-que-se-pierde-por-el-camino-y-que-nos-cobran-sube/" TargetMode="External"/><Relationship Id="rId747" Type="http://schemas.openxmlformats.org/officeDocument/2006/relationships/hyperlink" Target="https://elpais.com/politica/2018/11/28/actualidad/1543422865_729627.html" TargetMode="External"/><Relationship Id="rId954" Type="http://schemas.openxmlformats.org/officeDocument/2006/relationships/hyperlink" Target="https://twitter.com/alwaysfree86/status/1070299080906211329" TargetMode="External"/><Relationship Id="rId1377" Type="http://schemas.openxmlformats.org/officeDocument/2006/relationships/hyperlink" Target="https://twitter.com/albert_rivera/status/1070425503234961410" TargetMode="External"/><Relationship Id="rId1584" Type="http://schemas.openxmlformats.org/officeDocument/2006/relationships/hyperlink" Target="https://www.lavanguardia.com/politica/20181205/453377887754/ciudadanos-albert-rivera-prioriza-pacto-pp-andalucia-irresponsable-descartar-vox-santiago-abascal.html" TargetMode="External"/><Relationship Id="rId1791" Type="http://schemas.openxmlformats.org/officeDocument/2006/relationships/hyperlink" Target="http://www.europapress.es/" TargetMode="External"/><Relationship Id="rId1805" Type="http://schemas.openxmlformats.org/officeDocument/2006/relationships/hyperlink" Target="https://pbs.twimg.com/media/DtqwjU3WsAEha2B.jpg" TargetMode="External"/><Relationship Id="rId2428" Type="http://schemas.openxmlformats.org/officeDocument/2006/relationships/hyperlink" Target="http://instagram.com/merceesco" TargetMode="External"/><Relationship Id="rId2635" Type="http://schemas.openxmlformats.org/officeDocument/2006/relationships/hyperlink" Target="https://www.elperiodico.com/es/politica/20181203/pp-y-cs-inician-larga-pelea-por-trono-andaluz-elecciones-en-andalucia-con-vox-7182682?utm_source=twitter&amp;utm_medium=social" TargetMode="External"/><Relationship Id="rId83" Type="http://schemas.openxmlformats.org/officeDocument/2006/relationships/hyperlink" Target="http://unpobrecitohablador.tumblr.com/" TargetMode="External"/><Relationship Id="rId179" Type="http://schemas.openxmlformats.org/officeDocument/2006/relationships/hyperlink" Target="https://youtu.be/V9YYQDqha-Q?rcb38=2109392270" TargetMode="External"/><Relationship Id="rId386" Type="http://schemas.openxmlformats.org/officeDocument/2006/relationships/hyperlink" Target="https://twitter.com/numer344/status/1070646509539086336" TargetMode="External"/><Relationship Id="rId593" Type="http://schemas.openxmlformats.org/officeDocument/2006/relationships/hyperlink" Target="http://www.citizengo.org/hazteoir/pc/167099-al-psoe-ni-agua-sr-rivera?tc=tw&amp;tcid=52563053" TargetMode="External"/><Relationship Id="rId607" Type="http://schemas.openxmlformats.org/officeDocument/2006/relationships/hyperlink" Target="http://goo.gl/alerts/ykVDo" TargetMode="External"/><Relationship Id="rId814" Type="http://schemas.openxmlformats.org/officeDocument/2006/relationships/hyperlink" Target="http://albertosanzblanco.wordpress.com/" TargetMode="External"/><Relationship Id="rId1237" Type="http://schemas.openxmlformats.org/officeDocument/2006/relationships/hyperlink" Target="https://twitter.com/jaimedeolano/status/1070201786047303682" TargetMode="External"/><Relationship Id="rId1444" Type="http://schemas.openxmlformats.org/officeDocument/2006/relationships/hyperlink" Target="https://pbs.twimg.com/media/DtrrYcKWwAAxlC6.jpg" TargetMode="External"/><Relationship Id="rId1651" Type="http://schemas.openxmlformats.org/officeDocument/2006/relationships/hyperlink" Target="http://www.vozpopuli.com/juan_carlos_bermejo/" TargetMode="External"/><Relationship Id="rId1889" Type="http://schemas.openxmlformats.org/officeDocument/2006/relationships/hyperlink" Target="https://pbs.twimg.com/media/DtqeSLlWkAAc0yo.jpg" TargetMode="External"/><Relationship Id="rId2067" Type="http://schemas.openxmlformats.org/officeDocument/2006/relationships/hyperlink" Target="http://www.ciudadanos-cs.org/" TargetMode="External"/><Relationship Id="rId2274" Type="http://schemas.openxmlformats.org/officeDocument/2006/relationships/hyperlink" Target="https://pbs.twimg.com/media/Dto7QaHWkAAU_e9.jpg" TargetMode="External"/><Relationship Id="rId2481" Type="http://schemas.openxmlformats.org/officeDocument/2006/relationships/hyperlink" Target="https://twitter.com/FSerranoCastro/status/611649146899054592" TargetMode="External"/><Relationship Id="rId2702" Type="http://schemas.openxmlformats.org/officeDocument/2006/relationships/hyperlink" Target="http://blogs.libertaddigital.com/enigmas-del-11-m/" TargetMode="External"/><Relationship Id="rId246" Type="http://schemas.openxmlformats.org/officeDocument/2006/relationships/hyperlink" Target="https://pbs.twimg.com/media/Dt2GdB2WsAIv2pP.jpg" TargetMode="External"/><Relationship Id="rId453" Type="http://schemas.openxmlformats.org/officeDocument/2006/relationships/hyperlink" Target="https://pbs.twimg.com/media/DtzytsBW4AIlX0-.jpg" TargetMode="External"/><Relationship Id="rId660" Type="http://schemas.openxmlformats.org/officeDocument/2006/relationships/hyperlink" Target="http://www.pensamientosreducidos.es/" TargetMode="External"/><Relationship Id="rId898" Type="http://schemas.openxmlformats.org/officeDocument/2006/relationships/hyperlink" Target="https://twitter.com/cai_nyabel/status/1070047800359088128" TargetMode="External"/><Relationship Id="rId1083" Type="http://schemas.openxmlformats.org/officeDocument/2006/relationships/hyperlink" Target="http://pic.twitter.com/Q6wowfYskJ" TargetMode="External"/><Relationship Id="rId1290" Type="http://schemas.openxmlformats.org/officeDocument/2006/relationships/hyperlink" Target="http://3navegantes.wordpress.com/" TargetMode="External"/><Relationship Id="rId1304" Type="http://schemas.openxmlformats.org/officeDocument/2006/relationships/hyperlink" Target="http://pic.twitter.com/hNGxlsIz8P" TargetMode="External"/><Relationship Id="rId1511" Type="http://schemas.openxmlformats.org/officeDocument/2006/relationships/hyperlink" Target="http://roquetasdemar.ciudadanos-cs.org/" TargetMode="External"/><Relationship Id="rId1749" Type="http://schemas.openxmlformats.org/officeDocument/2006/relationships/hyperlink" Target="http://pic.twitter.com/YlijFW2KGy" TargetMode="External"/><Relationship Id="rId1956" Type="http://schemas.openxmlformats.org/officeDocument/2006/relationships/hyperlink" Target="https://pbs.twimg.com/media/DtqQFcJW0AA2RVo.png" TargetMode="External"/><Relationship Id="rId2134" Type="http://schemas.openxmlformats.org/officeDocument/2006/relationships/hyperlink" Target="https://www.20minutos.es/noticia/3508559/0/albert-rivera-defender-nuestra-constitucion/?utm_source=twitter.com&amp;utm_medium=socialshare&amp;utm_campaign=desktop" TargetMode="External"/><Relationship Id="rId2341" Type="http://schemas.openxmlformats.org/officeDocument/2006/relationships/hyperlink" Target="https://pbs.twimg.com/media/Dtoh2RBXcAAEtWO.jpg" TargetMode="External"/><Relationship Id="rId2579" Type="http://schemas.openxmlformats.org/officeDocument/2006/relationships/hyperlink" Target="https://www.elespanol.com/espana/politica/20181204/podemos-no-permitir-cs-gobierne-andalucia-vox/358214715_0.html" TargetMode="External"/><Relationship Id="rId2786" Type="http://schemas.openxmlformats.org/officeDocument/2006/relationships/hyperlink" Target="https://twitter.com/Cs_Andalucia/status/1069683407368654848" TargetMode="External"/><Relationship Id="rId106" Type="http://schemas.openxmlformats.org/officeDocument/2006/relationships/hyperlink" Target="https://pbs.twimg.com/media/Dt5BVJWXcAAXdO1.jpg" TargetMode="External"/><Relationship Id="rId313" Type="http://schemas.openxmlformats.org/officeDocument/2006/relationships/hyperlink" Target="https://pbs.twimg.com/media/Dt1M1FFWoAEPGgb.jpg" TargetMode="External"/><Relationship Id="rId758" Type="http://schemas.openxmlformats.org/officeDocument/2006/relationships/hyperlink" Target="https://www.facebook.com/pages/Ciudadanos-Pescados/921115804614055?fref=nf" TargetMode="External"/><Relationship Id="rId965" Type="http://schemas.openxmlformats.org/officeDocument/2006/relationships/hyperlink" Target="http://shr.gs/WptWZpC" TargetMode="External"/><Relationship Id="rId1150" Type="http://schemas.openxmlformats.org/officeDocument/2006/relationships/hyperlink" Target="https://pbs.twimg.com/media/DtuS87lWwAALipZ.jpg" TargetMode="External"/><Relationship Id="rId1388" Type="http://schemas.openxmlformats.org/officeDocument/2006/relationships/hyperlink" Target="http://www.zaragoza24horas.com/" TargetMode="External"/><Relationship Id="rId1595" Type="http://schemas.openxmlformats.org/officeDocument/2006/relationships/hyperlink" Target="https://pbs.twimg.com/media/DtrSykqWsAI8EjU.jpg" TargetMode="External"/><Relationship Id="rId1609" Type="http://schemas.openxmlformats.org/officeDocument/2006/relationships/hyperlink" Target="https://www.huffingtonpost.es/2018/12/05/intentan-boicotear-un-acto-de-albert-rivera-en-el-liceo-al-grito-de-fuera-fascistas_a_23609607/?ncid=other_twitter_cooo9wqtham&amp;utm_campaign=share_twitter" TargetMode="External"/><Relationship Id="rId1816" Type="http://schemas.openxmlformats.org/officeDocument/2006/relationships/hyperlink" Target="https://www.facebook.com/muleyhassan" TargetMode="External"/><Relationship Id="rId2439" Type="http://schemas.openxmlformats.org/officeDocument/2006/relationships/hyperlink" Target="http://jpombo.es/" TargetMode="External"/><Relationship Id="rId2646" Type="http://schemas.openxmlformats.org/officeDocument/2006/relationships/hyperlink" Target="https://twitter.com/Albert_Rivera/status/1069921507084779520" TargetMode="External"/><Relationship Id="rId10" Type="http://schemas.openxmlformats.org/officeDocument/2006/relationships/hyperlink" Target="https://pbs.twimg.com/media/Dt5-XgcXgAEi7T0.jpg" TargetMode="External"/><Relationship Id="rId94" Type="http://schemas.openxmlformats.org/officeDocument/2006/relationships/hyperlink" Target="http://www.elmundo.es/opinion/2018/12/08/5c081e04fdddff5b688b4717.html" TargetMode="External"/><Relationship Id="rId397" Type="http://schemas.openxmlformats.org/officeDocument/2006/relationships/hyperlink" Target="https://pbs.twimg.com/media/Dt0WDDSWwAIKA2t.jpg" TargetMode="External"/><Relationship Id="rId520" Type="http://schemas.openxmlformats.org/officeDocument/2006/relationships/hyperlink" Target="http://pic.twitter.com/zmNduJLQTv" TargetMode="External"/><Relationship Id="rId618" Type="http://schemas.openxmlformats.org/officeDocument/2006/relationships/hyperlink" Target="https://www.ciudadanos-cs.org/" TargetMode="External"/><Relationship Id="rId825" Type="http://schemas.openxmlformats.org/officeDocument/2006/relationships/hyperlink" Target="http://www.ciudadanos-cs.org/" TargetMode="External"/><Relationship Id="rId1248" Type="http://schemas.openxmlformats.org/officeDocument/2006/relationships/hyperlink" Target="https://pbs.twimg.com/media/DttuCO3WkAURS9-.jpg" TargetMode="External"/><Relationship Id="rId1455" Type="http://schemas.openxmlformats.org/officeDocument/2006/relationships/hyperlink" Target="https://pbs.twimg.com/media/DtrqHQUXQAE_P38.jpg" TargetMode="External"/><Relationship Id="rId1662" Type="http://schemas.openxmlformats.org/officeDocument/2006/relationships/hyperlink" Target="https://twitter.com/voxnoticias_es/status/1070261258538995712?s=19" TargetMode="External"/><Relationship Id="rId2078" Type="http://schemas.openxmlformats.org/officeDocument/2006/relationships/hyperlink" Target="https://pbs.twimg.com/media/Dtp3bX3XQAACCGY.jpg" TargetMode="External"/><Relationship Id="rId2201" Type="http://schemas.openxmlformats.org/officeDocument/2006/relationships/hyperlink" Target="http://www.telecinco.es/elprogramadeanarosa" TargetMode="External"/><Relationship Id="rId2285" Type="http://schemas.openxmlformats.org/officeDocument/2006/relationships/hyperlink" Target="http://ciudadanoasertivo.tumblr.com/" TargetMode="External"/><Relationship Id="rId2492" Type="http://schemas.openxmlformats.org/officeDocument/2006/relationships/hyperlink" Target="http://cantabria.ciudadanos-cs.org/" TargetMode="External"/><Relationship Id="rId2506" Type="http://schemas.openxmlformats.org/officeDocument/2006/relationships/hyperlink" Target="https://pbs.twimg.com/media/Dtl7C7TX4AALqec.jpg" TargetMode="External"/><Relationship Id="rId257" Type="http://schemas.openxmlformats.org/officeDocument/2006/relationships/hyperlink" Target="https://pbs.twimg.com/media/Dtz7Uo2WsAEmS2-.jpg" TargetMode="External"/><Relationship Id="rId464" Type="http://schemas.openxmlformats.org/officeDocument/2006/relationships/hyperlink" Target="https://www.libertaddigital.com/ciencia-tecnologia/ciencia/2018-12-05/la-rioja-permitira-a-funcionarios-acceder-libremente-a-las-casas-para-comprobar-el-estado-de-las-mascotas-1276629389/" TargetMode="External"/><Relationship Id="rId1010" Type="http://schemas.openxmlformats.org/officeDocument/2006/relationships/hyperlink" Target="https://pbs.twimg.com/media/Dtux_FWXgAAlfAq.jpg" TargetMode="External"/><Relationship Id="rId1094" Type="http://schemas.openxmlformats.org/officeDocument/2006/relationships/hyperlink" Target="https://pbs.twimg.com/media/DtudwIOWkAApDSW.jpg" TargetMode="External"/><Relationship Id="rId1108" Type="http://schemas.openxmlformats.org/officeDocument/2006/relationships/hyperlink" Target="https://pbs.twimg.com/media/DtuchZIWsAEFCe5.jpg" TargetMode="External"/><Relationship Id="rId1315" Type="http://schemas.openxmlformats.org/officeDocument/2006/relationships/hyperlink" Target="http://veoinfo.com/" TargetMode="External"/><Relationship Id="rId1967" Type="http://schemas.openxmlformats.org/officeDocument/2006/relationships/hyperlink" Target="http://cadenaser.com/ser/2018/12/05/politica/1544015189_962064.html" TargetMode="External"/><Relationship Id="rId2145" Type="http://schemas.openxmlformats.org/officeDocument/2006/relationships/hyperlink" Target="http://ramblalibre.com/2018/12/05/pedro-j-ramirez-obsesionado-contra-vox-impone-sus-criterios-a-albert-rivera/" TargetMode="External"/><Relationship Id="rId2713" Type="http://schemas.openxmlformats.org/officeDocument/2006/relationships/hyperlink" Target="http://poruncadizmejor.blogspot.com.es/" TargetMode="External"/><Relationship Id="rId117" Type="http://schemas.openxmlformats.org/officeDocument/2006/relationships/hyperlink" Target="http://www.convivenciaysolidaridad.blogspot.com/" TargetMode="External"/><Relationship Id="rId671" Type="http://schemas.openxmlformats.org/officeDocument/2006/relationships/hyperlink" Target="https://www.elplural.com/politica/lo-nunca-contado-de-la-intima-amistad-entre-albert-rivera-y-santiago-abascal_207666102_amp" TargetMode="External"/><Relationship Id="rId769" Type="http://schemas.openxmlformats.org/officeDocument/2006/relationships/hyperlink" Target="http://dlvr.it/Qt04By" TargetMode="External"/><Relationship Id="rId976" Type="http://schemas.openxmlformats.org/officeDocument/2006/relationships/hyperlink" Target="https://twitter.com/CiudadanosCs/status/1070637898142240768" TargetMode="External"/><Relationship Id="rId1399" Type="http://schemas.openxmlformats.org/officeDocument/2006/relationships/hyperlink" Target="http://www.delarosalopez.es/" TargetMode="External"/><Relationship Id="rId2352" Type="http://schemas.openxmlformats.org/officeDocument/2006/relationships/hyperlink" Target="https://pbs.twimg.com/media/DtoPYNSWwAEtUVs.jpg" TargetMode="External"/><Relationship Id="rId2657" Type="http://schemas.openxmlformats.org/officeDocument/2006/relationships/hyperlink" Target="https://twitter.com/CiudadanosCs/status/1069695879790116865" TargetMode="External"/><Relationship Id="rId324" Type="http://schemas.openxmlformats.org/officeDocument/2006/relationships/hyperlink" Target="http://www.citizengo.org/hazteoir/pc/167099-al-psoe-ni-agua-sr-rivera?tc=tw&amp;tcid=52572143" TargetMode="External"/><Relationship Id="rId531" Type="http://schemas.openxmlformats.org/officeDocument/2006/relationships/hyperlink" Target="https://www.ciudadanos-cs.org/prensa/rivera-gracias-a-nuestra-constitucion-pasamos-de-ser-enemigos-a-compatriotas/11144" TargetMode="External"/><Relationship Id="rId629" Type="http://schemas.openxmlformats.org/officeDocument/2006/relationships/hyperlink" Target="http://www.suntanningsl.com/" TargetMode="External"/><Relationship Id="rId1161" Type="http://schemas.openxmlformats.org/officeDocument/2006/relationships/hyperlink" Target="https://www.europapress.es/nacional/noticia-constitucion-40-anos-directo-20181206085938.html" TargetMode="External"/><Relationship Id="rId1259" Type="http://schemas.openxmlformats.org/officeDocument/2006/relationships/hyperlink" Target="https://pbs.twimg.com/media/DttkZ8vXQAE2Zma.jpg" TargetMode="External"/><Relationship Id="rId1466" Type="http://schemas.openxmlformats.org/officeDocument/2006/relationships/hyperlink" Target="http://ww.cope.es/ufujo1" TargetMode="External"/><Relationship Id="rId2005" Type="http://schemas.openxmlformats.org/officeDocument/2006/relationships/hyperlink" Target="https://okdiario.com/espana/andalucia/2018/12/05/rivera-dispuesto-pacto-pp-sin-descartar-vox-pero-marin-presidente-3430883" TargetMode="External"/><Relationship Id="rId2212" Type="http://schemas.openxmlformats.org/officeDocument/2006/relationships/hyperlink" Target="https://pbs.twimg.com/media/DtpQ5TLWwAUmGdA.jpg" TargetMode="External"/><Relationship Id="rId836" Type="http://schemas.openxmlformats.org/officeDocument/2006/relationships/hyperlink" Target="https://pbs.twimg.com/media/DtvpjdzXcAAJa8Y.jpg" TargetMode="External"/><Relationship Id="rId1021" Type="http://schemas.openxmlformats.org/officeDocument/2006/relationships/hyperlink" Target="http://pic.twitter.com/hNGxlsIz8P" TargetMode="External"/><Relationship Id="rId1119" Type="http://schemas.openxmlformats.org/officeDocument/2006/relationships/hyperlink" Target="http://pic.twitter.com/B0nMqix0tl" TargetMode="External"/><Relationship Id="rId1673" Type="http://schemas.openxmlformats.org/officeDocument/2006/relationships/hyperlink" Target="http://partidorepes.wordpress.com/" TargetMode="External"/><Relationship Id="rId1880" Type="http://schemas.openxmlformats.org/officeDocument/2006/relationships/hyperlink" Target="http://mas45-empleo-andalucia.simplesite.com/" TargetMode="External"/><Relationship Id="rId1978" Type="http://schemas.openxmlformats.org/officeDocument/2006/relationships/hyperlink" Target="https://twitter.com/Albert_Rivera/status/1070318510604210176" TargetMode="External"/><Relationship Id="rId2517" Type="http://schemas.openxmlformats.org/officeDocument/2006/relationships/hyperlink" Target="https://pbs.twimg.com/media/Dtl0T8HWwAAaAtW.jpg" TargetMode="External"/><Relationship Id="rId2724" Type="http://schemas.openxmlformats.org/officeDocument/2006/relationships/hyperlink" Target="http://www.miguelangelordonez.com/" TargetMode="External"/><Relationship Id="rId903" Type="http://schemas.openxmlformats.org/officeDocument/2006/relationships/hyperlink" Target="http://www.lextres.com/" TargetMode="External"/><Relationship Id="rId1326" Type="http://schemas.openxmlformats.org/officeDocument/2006/relationships/hyperlink" Target="https://wp.me/p26M0z-Ebc--" TargetMode="External"/><Relationship Id="rId1533" Type="http://schemas.openxmlformats.org/officeDocument/2006/relationships/hyperlink" Target="http://instagram.com/noeliahideko" TargetMode="External"/><Relationship Id="rId1740" Type="http://schemas.openxmlformats.org/officeDocument/2006/relationships/hyperlink" Target="https://pbs.twimg.com/media/Dtq-O7DVAAAGSkj.jpg" TargetMode="External"/><Relationship Id="rId32" Type="http://schemas.openxmlformats.org/officeDocument/2006/relationships/hyperlink" Target="https://twitter.com/grancocolio/status/1071399869171023874" TargetMode="External"/><Relationship Id="rId1600" Type="http://schemas.openxmlformats.org/officeDocument/2006/relationships/hyperlink" Target="https://noticiasvenezuela.org/2018/12/05/juan-pardo-por-que-albert-rivera-se-salto-el-registro-del-control-de-seguridad-del-aeropuerto-del-prat-el-maletin-portaba-mas-de-2-millones-de-euros-y-800-gramos-de-cocaina/" TargetMode="External"/><Relationship Id="rId1838" Type="http://schemas.openxmlformats.org/officeDocument/2006/relationships/hyperlink" Target="http://www.larazon.es/" TargetMode="External"/><Relationship Id="rId181" Type="http://schemas.openxmlformats.org/officeDocument/2006/relationships/hyperlink" Target="http://somosecd.com/kk_a64" TargetMode="External"/><Relationship Id="rId1905" Type="http://schemas.openxmlformats.org/officeDocument/2006/relationships/hyperlink" Target="https://amp.lasexta.com/noticias/nacional/el-cis-suspende-a-los-politicos-sanchez-roza-el-4-rivera-baja-medio-punto-e-iglesias-y-casado-se-instalan-en-el-3_201812055c07e3570cf222fc94edb830.html?__twitter_impression=true" TargetMode="External"/><Relationship Id="rId279" Type="http://schemas.openxmlformats.org/officeDocument/2006/relationships/hyperlink" Target="https://pbs.twimg.com/media/DtxO6mCWoAI4WaR.jpg" TargetMode="External"/><Relationship Id="rId486" Type="http://schemas.openxmlformats.org/officeDocument/2006/relationships/hyperlink" Target="https://innovadores.larazon.es/es/not/hyperloop-apuesta-ahora-por-el-sector-naviero" TargetMode="External"/><Relationship Id="rId693" Type="http://schemas.openxmlformats.org/officeDocument/2006/relationships/hyperlink" Target="https://www.elplural.com/politica/lo-nunca-contado-de-la-intima-amistad-entre-albert-rivera-y-santiago-abascal_207666102" TargetMode="External"/><Relationship Id="rId2167" Type="http://schemas.openxmlformats.org/officeDocument/2006/relationships/hyperlink" Target="https://elpais.com/politica/2018/12/05/actualidad/1543998700_343655.html" TargetMode="External"/><Relationship Id="rId2374" Type="http://schemas.openxmlformats.org/officeDocument/2006/relationships/hyperlink" Target="https://www.elconfidencial.com/espana/2018-12-04/directo-pedro-sanchez-entrevista_1686582/?utm_campaign=BotoneraWebapp&amp;utm_source=twitter&amp;utm_medium=social" TargetMode="External"/><Relationship Id="rId2581" Type="http://schemas.openxmlformats.org/officeDocument/2006/relationships/hyperlink" Target="https://www.youtube.com/watch?v=UDfJUlI_tXU" TargetMode="External"/><Relationship Id="rId139" Type="http://schemas.openxmlformats.org/officeDocument/2006/relationships/hyperlink" Target="http://noalppgurteldiseloatusamigos.blogspot.com.es/" TargetMode="External"/><Relationship Id="rId346" Type="http://schemas.openxmlformats.org/officeDocument/2006/relationships/hyperlink" Target="http://a.msn.com/00/es-es/BBQD9VP?ocid=st" TargetMode="External"/><Relationship Id="rId553" Type="http://schemas.openxmlformats.org/officeDocument/2006/relationships/hyperlink" Target="https://bit.ly/2QlOxhv" TargetMode="External"/><Relationship Id="rId760" Type="http://schemas.openxmlformats.org/officeDocument/2006/relationships/hyperlink" Target="https://www.larazon.es/espana/cuidar-nuestra-constitucion-por-albert-rivera-BP20854162" TargetMode="External"/><Relationship Id="rId998" Type="http://schemas.openxmlformats.org/officeDocument/2006/relationships/hyperlink" Target="http://www.telecinco.es/informativos" TargetMode="External"/><Relationship Id="rId1183" Type="http://schemas.openxmlformats.org/officeDocument/2006/relationships/hyperlink" Target="http://shr.gs/WptWZpC" TargetMode="External"/><Relationship Id="rId1390" Type="http://schemas.openxmlformats.org/officeDocument/2006/relationships/hyperlink" Target="http://www.grancanariatv.com/" TargetMode="External"/><Relationship Id="rId2027" Type="http://schemas.openxmlformats.org/officeDocument/2006/relationships/hyperlink" Target="https://www.elmundo.es/espana/2018/12/05/5c07d10afc6c83de3f8b475c.html" TargetMode="External"/><Relationship Id="rId2234" Type="http://schemas.openxmlformats.org/officeDocument/2006/relationships/hyperlink" Target="http://volumenes.blogspot.com.es/?view=snapshot" TargetMode="External"/><Relationship Id="rId2441" Type="http://schemas.openxmlformats.org/officeDocument/2006/relationships/hyperlink" Target="https://pbs.twimg.com/media/DtmZWamXcAIxayd.jpg" TargetMode="External"/><Relationship Id="rId2679" Type="http://schemas.openxmlformats.org/officeDocument/2006/relationships/hyperlink" Target="https://pbs.twimg.com/media/DtkUujxWsAAS5eC.jpg" TargetMode="External"/><Relationship Id="rId206" Type="http://schemas.openxmlformats.org/officeDocument/2006/relationships/hyperlink" Target="http://paper.li/wizfun/1315752719" TargetMode="External"/><Relationship Id="rId413" Type="http://schemas.openxmlformats.org/officeDocument/2006/relationships/hyperlink" Target="https://pbs.twimg.com/media/Dt0NZLuW0AAvskF.jpg" TargetMode="External"/><Relationship Id="rId858" Type="http://schemas.openxmlformats.org/officeDocument/2006/relationships/hyperlink" Target="http://atres.red/3w0ag6" TargetMode="External"/><Relationship Id="rId1043" Type="http://schemas.openxmlformats.org/officeDocument/2006/relationships/hyperlink" Target="http://thesustainabilityreader.com/" TargetMode="External"/><Relationship Id="rId1488" Type="http://schemas.openxmlformats.org/officeDocument/2006/relationships/hyperlink" Target="https://pbs.twimg.com/media/DtrlhLSWsAMhqlo.jpg" TargetMode="External"/><Relationship Id="rId1695" Type="http://schemas.openxmlformats.org/officeDocument/2006/relationships/hyperlink" Target="https://m.facebook.com/diegoclementeciudadano/" TargetMode="External"/><Relationship Id="rId2539" Type="http://schemas.openxmlformats.org/officeDocument/2006/relationships/hyperlink" Target="https://blogs.elconfidencial.com/espana/tribuna/2018-12-04/republica-vacia_1683730/?utm_source=twitter&amp;utm_medium=social&amp;utm_campaign=BotoneraWeb" TargetMode="External"/><Relationship Id="rId2746" Type="http://schemas.openxmlformats.org/officeDocument/2006/relationships/hyperlink" Target="http://www.malagahoy.es/julian_molina/" TargetMode="External"/><Relationship Id="rId620" Type="http://schemas.openxmlformats.org/officeDocument/2006/relationships/hyperlink" Target="http://goo.gl/alerts/XNgAF" TargetMode="External"/><Relationship Id="rId718" Type="http://schemas.openxmlformats.org/officeDocument/2006/relationships/hyperlink" Target="https://pbs.twimg.com/media/DtwVdanWkAA2Ndf.jpg" TargetMode="External"/><Relationship Id="rId925" Type="http://schemas.openxmlformats.org/officeDocument/2006/relationships/hyperlink" Target="https://elpais.com/politica/2018/11/28/actualidad/1543422865_729627.html?id_externo_rsoc=TW_CC" TargetMode="External"/><Relationship Id="rId1250" Type="http://schemas.openxmlformats.org/officeDocument/2006/relationships/hyperlink" Target="http://a.msn.com/01/es-es/BBQwg6d?ocid=st" TargetMode="External"/><Relationship Id="rId1348" Type="http://schemas.openxmlformats.org/officeDocument/2006/relationships/hyperlink" Target="http://instagram.com/mik.sama" TargetMode="External"/><Relationship Id="rId1555" Type="http://schemas.openxmlformats.org/officeDocument/2006/relationships/hyperlink" Target="http://www.bitmomentum.com/" TargetMode="External"/><Relationship Id="rId1762" Type="http://schemas.openxmlformats.org/officeDocument/2006/relationships/hyperlink" Target="https://www.europapress.es/nacional/noticia-pablo-iglesias-albert-rivera-joan-tarda-ana-oramas-candidatos-mejor-orador-parlamento-20181205181052.html" TargetMode="External"/><Relationship Id="rId2301" Type="http://schemas.openxmlformats.org/officeDocument/2006/relationships/hyperlink" Target="https://pbs.twimg.com/media/Dto0FlGXQAA9Thx.jpg" TargetMode="External"/><Relationship Id="rId2606" Type="http://schemas.openxmlformats.org/officeDocument/2006/relationships/hyperlink" Target="http://www.inmoavery.com/" TargetMode="External"/><Relationship Id="rId1110" Type="http://schemas.openxmlformats.org/officeDocument/2006/relationships/hyperlink" Target="https://www.tumblr.com/blog/andreesjauregui" TargetMode="External"/><Relationship Id="rId1208" Type="http://schemas.openxmlformats.org/officeDocument/2006/relationships/hyperlink" Target="https://ift.tt/2E1lw38" TargetMode="External"/><Relationship Id="rId1415" Type="http://schemas.openxmlformats.org/officeDocument/2006/relationships/hyperlink" Target="http://pic.twitter.com/hNGxlsIz8P" TargetMode="External"/><Relationship Id="rId54" Type="http://schemas.openxmlformats.org/officeDocument/2006/relationships/hyperlink" Target="http://bit.ly/2QkSWRF" TargetMode="External"/><Relationship Id="rId1622" Type="http://schemas.openxmlformats.org/officeDocument/2006/relationships/hyperlink" Target="http://page.is/prudencio-exojo" TargetMode="External"/><Relationship Id="rId1927" Type="http://schemas.openxmlformats.org/officeDocument/2006/relationships/hyperlink" Target="http://www.bitmomentum.com/" TargetMode="External"/><Relationship Id="rId2091" Type="http://schemas.openxmlformats.org/officeDocument/2006/relationships/hyperlink" Target="http://twitch.tv/rochseaside" TargetMode="External"/><Relationship Id="rId2189" Type="http://schemas.openxmlformats.org/officeDocument/2006/relationships/hyperlink" Target="https://pbs.twimg.com/media/DtpVgJzW0AAYd_4.jpg" TargetMode="External"/><Relationship Id="rId270" Type="http://schemas.openxmlformats.org/officeDocument/2006/relationships/hyperlink" Target="http://www.noentiendonada.es/" TargetMode="External"/><Relationship Id="rId2396" Type="http://schemas.openxmlformats.org/officeDocument/2006/relationships/hyperlink" Target="https://twitter.com/CiudadanoVille/status/1069576046176100352" TargetMode="External"/><Relationship Id="rId130" Type="http://schemas.openxmlformats.org/officeDocument/2006/relationships/hyperlink" Target="https://www.instagram.com/juance67/" TargetMode="External"/><Relationship Id="rId368" Type="http://schemas.openxmlformats.org/officeDocument/2006/relationships/hyperlink" Target="https://mailchi.mp/e831ff79b9e8/plataformaaida" TargetMode="External"/><Relationship Id="rId575" Type="http://schemas.openxmlformats.org/officeDocument/2006/relationships/hyperlink" Target="https://www.elplural.com/politica/lo-nunca-contado-de-la-intima-amistad-entre-albert-rivera-y-santiago-abascal_207666102" TargetMode="External"/><Relationship Id="rId782" Type="http://schemas.openxmlformats.org/officeDocument/2006/relationships/hyperlink" Target="https://www.youtube.com/channel/UCY60GBj-H8SmayRG1UgDVWw" TargetMode="External"/><Relationship Id="rId2049" Type="http://schemas.openxmlformats.org/officeDocument/2006/relationships/hyperlink" Target="http://lectoracorrent.blogspot.com/" TargetMode="External"/><Relationship Id="rId2256" Type="http://schemas.openxmlformats.org/officeDocument/2006/relationships/hyperlink" Target="https://pbs.twimg.com/media/DtpDzQpXgAUeRoL.jpg" TargetMode="External"/><Relationship Id="rId2463" Type="http://schemas.openxmlformats.org/officeDocument/2006/relationships/hyperlink" Target="https://www.youtube.com/channel/UC4pLa55R6EOOyyfUaZ3eenQ" TargetMode="External"/><Relationship Id="rId2670" Type="http://schemas.openxmlformats.org/officeDocument/2006/relationships/hyperlink" Target="http://www.gonzalogurrea.com/" TargetMode="External"/><Relationship Id="rId228" Type="http://schemas.openxmlformats.org/officeDocument/2006/relationships/hyperlink" Target="https://pbs.twimg.com/media/DtzktrRX4AAVLRM.jpg" TargetMode="External"/><Relationship Id="rId435" Type="http://schemas.openxmlformats.org/officeDocument/2006/relationships/hyperlink" Target="http://pic.twitter.com/kgu1P7vYR3" TargetMode="External"/><Relationship Id="rId642" Type="http://schemas.openxmlformats.org/officeDocument/2006/relationships/hyperlink" Target="https://pbs.twimg.com/media/Dtw09MHWkAAvcjX.jpg" TargetMode="External"/><Relationship Id="rId1065" Type="http://schemas.openxmlformats.org/officeDocument/2006/relationships/hyperlink" Target="https://pbs.twimg.com/media/DtukCp-WoAABIGb.jpg" TargetMode="External"/><Relationship Id="rId1272" Type="http://schemas.openxmlformats.org/officeDocument/2006/relationships/hyperlink" Target="http://www.librediariodigital.net/" TargetMode="External"/><Relationship Id="rId2116" Type="http://schemas.openxmlformats.org/officeDocument/2006/relationships/hyperlink" Target="https://www.20minutos.es/noticia/3508559/0/albert-rivera-defender-nuestra-constitucion/" TargetMode="External"/><Relationship Id="rId2323" Type="http://schemas.openxmlformats.org/officeDocument/2006/relationships/hyperlink" Target="http://www.madressolterasporeleccion.org/" TargetMode="External"/><Relationship Id="rId2530" Type="http://schemas.openxmlformats.org/officeDocument/2006/relationships/hyperlink" Target="https://pbs.twimg.com/media/DtlrhvAX4AEGNQy.jpg" TargetMode="External"/><Relationship Id="rId2768" Type="http://schemas.openxmlformats.org/officeDocument/2006/relationships/hyperlink" Target="https://twitter.com/albert_rivera/status/1069709488574337025" TargetMode="External"/><Relationship Id="rId502" Type="http://schemas.openxmlformats.org/officeDocument/2006/relationships/hyperlink" Target="http://canarias.ciudadanos-cs.org/" TargetMode="External"/><Relationship Id="rId947" Type="http://schemas.openxmlformats.org/officeDocument/2006/relationships/hyperlink" Target="http://alejandroespinosa.com/" TargetMode="External"/><Relationship Id="rId1132" Type="http://schemas.openxmlformats.org/officeDocument/2006/relationships/hyperlink" Target="http://uncubanoencanarias.blogspot.com/" TargetMode="External"/><Relationship Id="rId1577" Type="http://schemas.openxmlformats.org/officeDocument/2006/relationships/hyperlink" Target="http://pic.twitter.com/swIEzAv581" TargetMode="External"/><Relationship Id="rId1784" Type="http://schemas.openxmlformats.org/officeDocument/2006/relationships/hyperlink" Target="http://www.europapress.es/nacional/" TargetMode="External"/><Relationship Id="rId1991" Type="http://schemas.openxmlformats.org/officeDocument/2006/relationships/hyperlink" Target="https://pbs.twimg.com/media/DtlW5VyXQAI9xaF.jpg" TargetMode="External"/><Relationship Id="rId2628" Type="http://schemas.openxmlformats.org/officeDocument/2006/relationships/hyperlink" Target="https://twitter.com/FSerranoCastro/status/729684736965267456" TargetMode="External"/><Relationship Id="rId76" Type="http://schemas.openxmlformats.org/officeDocument/2006/relationships/hyperlink" Target="http://pic.twitter.com/vIVD9193qt" TargetMode="External"/><Relationship Id="rId807" Type="http://schemas.openxmlformats.org/officeDocument/2006/relationships/hyperlink" Target="http://www.citizengo.org/hazteoir/pc/167099-al-psoe-ni-agua-sr-rivera?tc=tw&amp;tcid=52559014" TargetMode="External"/><Relationship Id="rId1437" Type="http://schemas.openxmlformats.org/officeDocument/2006/relationships/hyperlink" Target="http://pic.twitter.com/iI5y6UxSuX" TargetMode="External"/><Relationship Id="rId1644" Type="http://schemas.openxmlformats.org/officeDocument/2006/relationships/hyperlink" Target="https://www.huffingtonpost.es/2018/12/04/el-duro-editorial-de-le-monde-que-no-gustara-ni-a-casado-ni-a-rivera-es-peligroso_a_23608193/?ncid=other_twitter_cooo9wqtham&amp;utm_campaign=share_twitter" TargetMode="External"/><Relationship Id="rId1851" Type="http://schemas.openxmlformats.org/officeDocument/2006/relationships/hyperlink" Target="https://pbs.twimg.com/media/DsT3l10WwAAcNfm.jpg" TargetMode="External"/><Relationship Id="rId1504" Type="http://schemas.openxmlformats.org/officeDocument/2006/relationships/hyperlink" Target="https://twitter.com/capitanapio/status/1070072617556680705" TargetMode="External"/><Relationship Id="rId1711" Type="http://schemas.openxmlformats.org/officeDocument/2006/relationships/hyperlink" Target="https://twitter.com/albertmartnez/status/1070377641440620545" TargetMode="External"/><Relationship Id="rId1949" Type="http://schemas.openxmlformats.org/officeDocument/2006/relationships/hyperlink" Target="https://www.publico.es/politica/cloacas-interior-ciudadanos-compra-asociacion-policial-jusapol-le-haga-campana-rivera.html" TargetMode="External"/><Relationship Id="rId292" Type="http://schemas.openxmlformats.org/officeDocument/2006/relationships/hyperlink" Target="http://www.citizengo.org/hazteoir/pc/167099-al-psoe-ni-agua-sr-rivera?tc=tw&amp;tcid=52573436" TargetMode="External"/><Relationship Id="rId1809" Type="http://schemas.openxmlformats.org/officeDocument/2006/relationships/hyperlink" Target="https://pbs.twimg.com/media/DtqvawPW0AAhw1h.jpg" TargetMode="External"/><Relationship Id="rId597" Type="http://schemas.openxmlformats.org/officeDocument/2006/relationships/hyperlink" Target="https://twitter.com/carrizosacarlos/status/1070635418486489088" TargetMode="External"/><Relationship Id="rId2180" Type="http://schemas.openxmlformats.org/officeDocument/2006/relationships/hyperlink" Target="https://www.elindependiente.com/politica/2018/12/05/ciudadanos-admite-que-la-candidatura-de-marin-es-para-empezar-a-negociar-con-moreno/?utm_source=share_buttons&amp;utm_medium=twitter&amp;utm_campaign=social_share2" TargetMode="External"/><Relationship Id="rId2278" Type="http://schemas.openxmlformats.org/officeDocument/2006/relationships/hyperlink" Target="https://twitter.com/pacomarhuenda/status/1070229817352704000" TargetMode="External"/><Relationship Id="rId2485" Type="http://schemas.openxmlformats.org/officeDocument/2006/relationships/hyperlink" Target="https://pbs.twimg.com/media/DtmD9cmWoAALypM.jpg" TargetMode="External"/><Relationship Id="rId152" Type="http://schemas.openxmlformats.org/officeDocument/2006/relationships/hyperlink" Target="http://www.ciudadanos-cs.org/" TargetMode="External"/><Relationship Id="rId457" Type="http://schemas.openxmlformats.org/officeDocument/2006/relationships/hyperlink" Target="http://www.citizengo.org/hazteoir/pc/167099-al-psoe-ni-agua-sr-rivera?tc=tw&amp;tcid=52565807" TargetMode="External"/><Relationship Id="rId1087" Type="http://schemas.openxmlformats.org/officeDocument/2006/relationships/hyperlink" Target="https://pbs.twimg.com/media/DtueYUzW4AAmWPc.jpg" TargetMode="External"/><Relationship Id="rId1294" Type="http://schemas.openxmlformats.org/officeDocument/2006/relationships/hyperlink" Target="https://twitter.com/Albert_Rivera/status/1070318510604210176" TargetMode="External"/><Relationship Id="rId2040" Type="http://schemas.openxmlformats.org/officeDocument/2006/relationships/hyperlink" Target="https://pbs.twimg.com/media/Dtp7sr8W4AYEE-l.jpg" TargetMode="External"/><Relationship Id="rId2138" Type="http://schemas.openxmlformats.org/officeDocument/2006/relationships/hyperlink" Target="https://www.telecinco.es/elprogramadeanarosa/abascal-rivera-toro-manso_2_2670180027.html" TargetMode="External"/><Relationship Id="rId2692" Type="http://schemas.openxmlformats.org/officeDocument/2006/relationships/hyperlink" Target="https://m.facebook.com/?_rdr" TargetMode="External"/><Relationship Id="rId664" Type="http://schemas.openxmlformats.org/officeDocument/2006/relationships/hyperlink" Target="http://ow.ly/s3CU30mTr9W" TargetMode="External"/><Relationship Id="rId871" Type="http://schemas.openxmlformats.org/officeDocument/2006/relationships/hyperlink" Target="https://www.youtube.com/channel/UCY60GBj-H8SmayRG1UgDVWw" TargetMode="External"/><Relationship Id="rId969" Type="http://schemas.openxmlformats.org/officeDocument/2006/relationships/hyperlink" Target="http://www.dondiario.com/" TargetMode="External"/><Relationship Id="rId1599" Type="http://schemas.openxmlformats.org/officeDocument/2006/relationships/hyperlink" Target="http://page.is/prudencio-exojo" TargetMode="External"/><Relationship Id="rId2345" Type="http://schemas.openxmlformats.org/officeDocument/2006/relationships/hyperlink" Target="https://itunes.apple.com/es/book/gettysburg-1863/id665369445?mt=11" TargetMode="External"/><Relationship Id="rId2552" Type="http://schemas.openxmlformats.org/officeDocument/2006/relationships/hyperlink" Target="http://www.laquimera.typepad.com/" TargetMode="External"/><Relationship Id="rId317" Type="http://schemas.openxmlformats.org/officeDocument/2006/relationships/hyperlink" Target="http://instagram.com/adri_emw" TargetMode="External"/><Relationship Id="rId524" Type="http://schemas.openxmlformats.org/officeDocument/2006/relationships/hyperlink" Target="https://www.elplural.com/politica/lo-nunca-contado-de-la-intima-amistad-entre-albert-rivera-y-santiago-abascal_207666102" TargetMode="External"/><Relationship Id="rId731" Type="http://schemas.openxmlformats.org/officeDocument/2006/relationships/hyperlink" Target="http://cuenca.ciudadanos-cs.org/" TargetMode="External"/><Relationship Id="rId1154" Type="http://schemas.openxmlformats.org/officeDocument/2006/relationships/hyperlink" Target="http://pcasevillalocal.org/" TargetMode="External"/><Relationship Id="rId1361" Type="http://schemas.openxmlformats.org/officeDocument/2006/relationships/hyperlink" Target="https://pbs.twimg.com/media/Dtr9NroWoAAyCPK.jpg" TargetMode="External"/><Relationship Id="rId1459" Type="http://schemas.openxmlformats.org/officeDocument/2006/relationships/hyperlink" Target="https://twitter.com/JuanMarin_Cs/status/1070326961640235008" TargetMode="External"/><Relationship Id="rId2205" Type="http://schemas.openxmlformats.org/officeDocument/2006/relationships/hyperlink" Target="https://pbs.twimg.com/media/DtpSJIHVsAAZVZg.jpg" TargetMode="External"/><Relationship Id="rId2412" Type="http://schemas.openxmlformats.org/officeDocument/2006/relationships/hyperlink" Target="https://pbs.twimg.com/media/DtmnWxsXQAEQ6y-.jpg" TargetMode="External"/><Relationship Id="rId98" Type="http://schemas.openxmlformats.org/officeDocument/2006/relationships/hyperlink" Target="http://pic.twitter.com/cuBFjdWqdn" TargetMode="External"/><Relationship Id="rId829" Type="http://schemas.openxmlformats.org/officeDocument/2006/relationships/hyperlink" Target="http://pic.twitter.com/KKLFODO8uY" TargetMode="External"/><Relationship Id="rId1014" Type="http://schemas.openxmlformats.org/officeDocument/2006/relationships/hyperlink" Target="http://pic.twitter.com/GjyzE3FPHE" TargetMode="External"/><Relationship Id="rId1221" Type="http://schemas.openxmlformats.org/officeDocument/2006/relationships/hyperlink" Target="http://dlvr.it/Qsy05j" TargetMode="External"/><Relationship Id="rId1666" Type="http://schemas.openxmlformats.org/officeDocument/2006/relationships/hyperlink" Target="https://pbs.twimg.com/media/Dtp5SugW0AAX33O.jpg" TargetMode="External"/><Relationship Id="rId1873" Type="http://schemas.openxmlformats.org/officeDocument/2006/relationships/hyperlink" Target="https://www.elnacional.cat/es/politica/editorial-monde-leer-albert-rivera_331719_102.html" TargetMode="External"/><Relationship Id="rId2717" Type="http://schemas.openxmlformats.org/officeDocument/2006/relationships/hyperlink" Target="https://sevilla.abc.es/elecciones/andalucia/sevi-elecciones-andalucia-2018-ciudadanos-y-psoe-ofrecen-para-gobernar-ajenos-mandato-elecciones-andaluzas-201812040014_noticia.html" TargetMode="External"/><Relationship Id="rId1319" Type="http://schemas.openxmlformats.org/officeDocument/2006/relationships/hyperlink" Target="http://www.ruartecontract.com/" TargetMode="External"/><Relationship Id="rId1526" Type="http://schemas.openxmlformats.org/officeDocument/2006/relationships/hyperlink" Target="https://pbs.twimg.com/media/Dtre5inUUAAaAa1.jpg" TargetMode="External"/><Relationship Id="rId1733" Type="http://schemas.openxmlformats.org/officeDocument/2006/relationships/hyperlink" Target="https://www.facebook.com/Cs-Manresa-527806753938979/" TargetMode="External"/><Relationship Id="rId1940" Type="http://schemas.openxmlformats.org/officeDocument/2006/relationships/hyperlink" Target="https://twitter.com/girautaoficial/status/1070311496389926914" TargetMode="External"/><Relationship Id="rId25" Type="http://schemas.openxmlformats.org/officeDocument/2006/relationships/hyperlink" Target="https://twitter.com/ernesturtasun/status/1071325303253934080" TargetMode="External"/><Relationship Id="rId1800" Type="http://schemas.openxmlformats.org/officeDocument/2006/relationships/hyperlink" Target="http://www.bitmomentum.com/" TargetMode="External"/><Relationship Id="rId174" Type="http://schemas.openxmlformats.org/officeDocument/2006/relationships/hyperlink" Target="http://www.equilibriarte.net/site/molina" TargetMode="External"/><Relationship Id="rId381" Type="http://schemas.openxmlformats.org/officeDocument/2006/relationships/hyperlink" Target="http://pic.twitter.com/hSU9RqIroU" TargetMode="External"/><Relationship Id="rId2062" Type="http://schemas.openxmlformats.org/officeDocument/2006/relationships/hyperlink" Target="https://okdiario.com/espana/andalucia/2018/12/05/rivera-dispuesto-pacto-pp-sin-descartar-vox-pero-marin-presidente-3430883" TargetMode="External"/><Relationship Id="rId241" Type="http://schemas.openxmlformats.org/officeDocument/2006/relationships/hyperlink" Target="http://ana.pg/" TargetMode="External"/><Relationship Id="rId479" Type="http://schemas.openxmlformats.org/officeDocument/2006/relationships/hyperlink" Target="https://www.huffingtonpost.es/2018/12/06/felipe-vi-nuestra-democracia-es-firme-y-consolidada-no-tiene-vuelta-atras_a_23610482/?ncid=other_twitter_cooo9wqtham&amp;utm_campaign=share_twitter" TargetMode="External"/><Relationship Id="rId686" Type="http://schemas.openxmlformats.org/officeDocument/2006/relationships/hyperlink" Target="https://pbs.twimg.com/media/DtwfteuXcAIRSN7.jpg" TargetMode="External"/><Relationship Id="rId893" Type="http://schemas.openxmlformats.org/officeDocument/2006/relationships/hyperlink" Target="https://pbs.twimg.com/media/DtvRH1bXcAEI8x_.jpg" TargetMode="External"/><Relationship Id="rId2367" Type="http://schemas.openxmlformats.org/officeDocument/2006/relationships/hyperlink" Target="http://pic.twitter.com/YpWOPgyabl" TargetMode="External"/><Relationship Id="rId2574" Type="http://schemas.openxmlformats.org/officeDocument/2006/relationships/hyperlink" Target="https://www.elnacional.cat/es/politica/nuevo-apoyo-internacional-vox-ku-klux-klan_331311_102_amp.html" TargetMode="External"/><Relationship Id="rId2781" Type="http://schemas.openxmlformats.org/officeDocument/2006/relationships/hyperlink" Target="https://pbs.twimg.com/media/DtjhEuwWwAAnXco.jpg" TargetMode="External"/><Relationship Id="rId339" Type="http://schemas.openxmlformats.org/officeDocument/2006/relationships/hyperlink" Target="https://www.businessinsider.es/mayor-gigante-privado-vietnam-acaba-comprar-bq-como-pieza-clave-crear-su-propio-silicon-valley-hanoi-339875?utm_source=Twitter&amp;utm_medium=referral&amp;utm_campaign=Botones_sociales" TargetMode="External"/><Relationship Id="rId546" Type="http://schemas.openxmlformats.org/officeDocument/2006/relationships/hyperlink" Target="https://youtu.be/V9YYQDqha-Q?nan19=9932048461" TargetMode="External"/><Relationship Id="rId753" Type="http://schemas.openxmlformats.org/officeDocument/2006/relationships/hyperlink" Target="https://www.larazon.es/espana/cuidar-nuestra-constitucion-por-albert-rivera-BP20854162" TargetMode="External"/><Relationship Id="rId1176" Type="http://schemas.openxmlformats.org/officeDocument/2006/relationships/hyperlink" Target="http://www.bitmomentum.com/" TargetMode="External"/><Relationship Id="rId1383" Type="http://schemas.openxmlformats.org/officeDocument/2006/relationships/hyperlink" Target="http://www.bitmomentum.com/" TargetMode="External"/><Relationship Id="rId2227" Type="http://schemas.openxmlformats.org/officeDocument/2006/relationships/hyperlink" Target="http://www.telecinco.es/informativos" TargetMode="External"/><Relationship Id="rId2434" Type="http://schemas.openxmlformats.org/officeDocument/2006/relationships/hyperlink" Target="https://m.eldiario.es/_2d192dfc" TargetMode="External"/><Relationship Id="rId101" Type="http://schemas.openxmlformats.org/officeDocument/2006/relationships/hyperlink" Target="https://blogs.elconfidencial.com/espana/notebook/2018-12-08/vox-albert-rivera-pactos-andalucia-centro-europeista_1692818/" TargetMode="External"/><Relationship Id="rId406" Type="http://schemas.openxmlformats.org/officeDocument/2006/relationships/hyperlink" Target="http://www.pplatina.es/" TargetMode="External"/><Relationship Id="rId960" Type="http://schemas.openxmlformats.org/officeDocument/2006/relationships/hyperlink" Target="http://www.citizengo.org/hazteoir/pc/167099-al-psoe-ni-agua-sr-rivera?tc=tw&amp;tcid=52558261" TargetMode="External"/><Relationship Id="rId1036" Type="http://schemas.openxmlformats.org/officeDocument/2006/relationships/hyperlink" Target="https://pbs.twimg.com/media/DturTmxXcAM1jlj.jpg" TargetMode="External"/><Relationship Id="rId1243" Type="http://schemas.openxmlformats.org/officeDocument/2006/relationships/hyperlink" Target="http://www.bitmomentum.com/" TargetMode="External"/><Relationship Id="rId1590" Type="http://schemas.openxmlformats.org/officeDocument/2006/relationships/hyperlink" Target="https://youtu.be/RTaLCxiU6KU" TargetMode="External"/><Relationship Id="rId1688" Type="http://schemas.openxmlformats.org/officeDocument/2006/relationships/hyperlink" Target="https://pbs.twimg.com/media/DtrDtK3WsAEkSSc.jpg" TargetMode="External"/><Relationship Id="rId1895" Type="http://schemas.openxmlformats.org/officeDocument/2006/relationships/hyperlink" Target="https://okdiario.com/espana/andalucia/2018/12/05/rivera-dispuesto-pacto-pp-sin-descartar-vox-pero-marin-presidente-3430883" TargetMode="External"/><Relationship Id="rId2641" Type="http://schemas.openxmlformats.org/officeDocument/2006/relationships/hyperlink" Target="https://comentaconjose.blogspot.com.es/" TargetMode="External"/><Relationship Id="rId2739" Type="http://schemas.openxmlformats.org/officeDocument/2006/relationships/hyperlink" Target="https://pbs.twimg.com/media/Dtjw0mUVAAAvLBm.jpg" TargetMode="External"/><Relationship Id="rId613" Type="http://schemas.openxmlformats.org/officeDocument/2006/relationships/hyperlink" Target="https://okdiario.com/espana/2018/12/05/iglesias-plantea-ciudadanos-que-ponga-encima-mesa-acuerdo-andalucia-3430367/amp?__twitter_impression=true" TargetMode="External"/><Relationship Id="rId820" Type="http://schemas.openxmlformats.org/officeDocument/2006/relationships/hyperlink" Target="http://pic.twitter.com/FRLuxH0BWu" TargetMode="External"/><Relationship Id="rId918" Type="http://schemas.openxmlformats.org/officeDocument/2006/relationships/hyperlink" Target="http://a.msn.com/01/es-es/BBQxV6m?ocid=st" TargetMode="External"/><Relationship Id="rId1450" Type="http://schemas.openxmlformats.org/officeDocument/2006/relationships/hyperlink" Target="https://okdiario.com/espana/2018/12/05/iglesias-plantea-ciudadanos-que-ponga-encima-mesa-acuerdo-andalucia-3430367/amp" TargetMode="External"/><Relationship Id="rId1548" Type="http://schemas.openxmlformats.org/officeDocument/2006/relationships/hyperlink" Target="http://www.ciudadanos-cs.org/" TargetMode="External"/><Relationship Id="rId1755" Type="http://schemas.openxmlformats.org/officeDocument/2006/relationships/hyperlink" Target="https://lamiradacomun.es/madrid/madrid-comunidad-presupuestos-riqueza-desigualdad/" TargetMode="External"/><Relationship Id="rId2501" Type="http://schemas.openxmlformats.org/officeDocument/2006/relationships/hyperlink" Target="https://www.eldiario.es/_323bbcc6" TargetMode="External"/><Relationship Id="rId1103" Type="http://schemas.openxmlformats.org/officeDocument/2006/relationships/hyperlink" Target="https://pbs.twimg.com/media/Dtuc1fyW0AAqcJS.jpg" TargetMode="External"/><Relationship Id="rId1310" Type="http://schemas.openxmlformats.org/officeDocument/2006/relationships/hyperlink" Target="https://twitter.com/andres_cano42/status/1070375854373507072" TargetMode="External"/><Relationship Id="rId1408" Type="http://schemas.openxmlformats.org/officeDocument/2006/relationships/hyperlink" Target="https://wp.me/p26M0z-Ebc" TargetMode="External"/><Relationship Id="rId1962" Type="http://schemas.openxmlformats.org/officeDocument/2006/relationships/hyperlink" Target="https://pbs.twimg.com/media/DtqPbKxX4AE7BUa.jpg" TargetMode="External"/><Relationship Id="rId47" Type="http://schemas.openxmlformats.org/officeDocument/2006/relationships/hyperlink" Target="http://pic.twitter.com/DVgQpFgjq2" TargetMode="External"/><Relationship Id="rId1615" Type="http://schemas.openxmlformats.org/officeDocument/2006/relationships/hyperlink" Target="http://pic.twitter.com/hPHawXQrCw" TargetMode="External"/><Relationship Id="rId1822" Type="http://schemas.openxmlformats.org/officeDocument/2006/relationships/hyperlink" Target="https://pbs.twimg.com/media/Dtqrk53XcAALaIx.jpg" TargetMode="External"/><Relationship Id="rId196" Type="http://schemas.openxmlformats.org/officeDocument/2006/relationships/hyperlink" Target="https://www.elconfidencialdigital.com/articulo/politica/albert-rivera-tiene-plan-pactar-vox-enfadar-socios-europeos/20181207212045119111.html" TargetMode="External"/><Relationship Id="rId2084" Type="http://schemas.openxmlformats.org/officeDocument/2006/relationships/hyperlink" Target="https://pbs.twimg.com/media/Dtp1OOUW0AAr1SP.jpg" TargetMode="External"/><Relationship Id="rId2291" Type="http://schemas.openxmlformats.org/officeDocument/2006/relationships/hyperlink" Target="https://twitter.com/albert_rivera/status/1069921507084779520" TargetMode="External"/><Relationship Id="rId263" Type="http://schemas.openxmlformats.org/officeDocument/2006/relationships/hyperlink" Target="https://cincodias.elpais.com/cincodias/2015/11/07/economia/1446899142_765149.html" TargetMode="External"/><Relationship Id="rId470" Type="http://schemas.openxmlformats.org/officeDocument/2006/relationships/hyperlink" Target="http://canariasenhora.com/" TargetMode="External"/><Relationship Id="rId2151" Type="http://schemas.openxmlformats.org/officeDocument/2006/relationships/hyperlink" Target="https://www.cosasdeunabailarina.es/albert-rivera-espana-y-europa/" TargetMode="External"/><Relationship Id="rId2389" Type="http://schemas.openxmlformats.org/officeDocument/2006/relationships/hyperlink" Target="https://www.elconfidencial.com/espana/2018-12-04/directo-pedro-sanchez-entrevista_1686582/" TargetMode="External"/><Relationship Id="rId2596" Type="http://schemas.openxmlformats.org/officeDocument/2006/relationships/hyperlink" Target="http://elclubdelosviernes.org/" TargetMode="External"/><Relationship Id="rId123" Type="http://schemas.openxmlformats.org/officeDocument/2006/relationships/hyperlink" Target="https://instagram.com/mlumbreras_99/" TargetMode="External"/><Relationship Id="rId330" Type="http://schemas.openxmlformats.org/officeDocument/2006/relationships/hyperlink" Target="http://ciudadreal.ciudadanos-cs.org/" TargetMode="External"/><Relationship Id="rId568" Type="http://schemas.openxmlformats.org/officeDocument/2006/relationships/hyperlink" Target="https://gaceta.es/opinion/extremismos-vox-20181205-1244/" TargetMode="External"/><Relationship Id="rId775" Type="http://schemas.openxmlformats.org/officeDocument/2006/relationships/hyperlink" Target="http://pic.twitter.com/20yF6WPkHy" TargetMode="External"/><Relationship Id="rId982" Type="http://schemas.openxmlformats.org/officeDocument/2006/relationships/hyperlink" Target="https://twiter.com/agrnineta" TargetMode="External"/><Relationship Id="rId1198" Type="http://schemas.openxmlformats.org/officeDocument/2006/relationships/hyperlink" Target="https://pbs.twimg.com/media/DtuEPL8W4AUojLI.jpg" TargetMode="External"/><Relationship Id="rId2011" Type="http://schemas.openxmlformats.org/officeDocument/2006/relationships/hyperlink" Target="https://pbs.twimg.com/media/DtqFr97XQAApDQ4.jpg" TargetMode="External"/><Relationship Id="rId2249" Type="http://schemas.openxmlformats.org/officeDocument/2006/relationships/hyperlink" Target="http://elclubdelosviernes.org/" TargetMode="External"/><Relationship Id="rId2456" Type="http://schemas.openxmlformats.org/officeDocument/2006/relationships/hyperlink" Target="https://pbs.twimg.com/media/DtmQm2rW4AI8opR.jpg" TargetMode="External"/><Relationship Id="rId2663" Type="http://schemas.openxmlformats.org/officeDocument/2006/relationships/hyperlink" Target="https://pbs.twimg.com/media/DtkamIVXcAAJaQ2.jpg" TargetMode="External"/><Relationship Id="rId428" Type="http://schemas.openxmlformats.org/officeDocument/2006/relationships/hyperlink" Target="https://elpais.com/diario/2006/03/18/opinion/1142636405_850215.html" TargetMode="External"/><Relationship Id="rId635" Type="http://schemas.openxmlformats.org/officeDocument/2006/relationships/hyperlink" Target="https://blogs.elconfidencial.com/espana/matacan/2018-12-06/aniversario-constitucion-espana-envidiada-ignorada_1689718/?utm_campaign=BotoneraWebapp&amp;utm_source=twitter&amp;utm_medium=social" TargetMode="External"/><Relationship Id="rId842" Type="http://schemas.openxmlformats.org/officeDocument/2006/relationships/hyperlink" Target="https://www.youtube.com/channel/UCzxgc4H0oHpD_o05R7wmEAA" TargetMode="External"/><Relationship Id="rId1058" Type="http://schemas.openxmlformats.org/officeDocument/2006/relationships/hyperlink" Target="https://elpais.com/politica/2018/11/28/actualidad/1543422865_729627.html" TargetMode="External"/><Relationship Id="rId1265" Type="http://schemas.openxmlformats.org/officeDocument/2006/relationships/hyperlink" Target="http://www.elplural.com/" TargetMode="External"/><Relationship Id="rId1472" Type="http://schemas.openxmlformats.org/officeDocument/2006/relationships/hyperlink" Target="http://elmundo.es/" TargetMode="External"/><Relationship Id="rId2109" Type="http://schemas.openxmlformats.org/officeDocument/2006/relationships/hyperlink" Target="http://partidorepes.wordpress.com/" TargetMode="External"/><Relationship Id="rId2316" Type="http://schemas.openxmlformats.org/officeDocument/2006/relationships/hyperlink" Target="http://www.lextres.com/" TargetMode="External"/><Relationship Id="rId2523" Type="http://schemas.openxmlformats.org/officeDocument/2006/relationships/hyperlink" Target="https://twitter.com/AndreMoreauL/status/1069654464594960385" TargetMode="External"/><Relationship Id="rId2730" Type="http://schemas.openxmlformats.org/officeDocument/2006/relationships/hyperlink" Target="https://m.eldiario.es/politica/Albert_Rivera-Juan_Marin-Cs-Andalucia-pactos-PP-PSOE-Vox-dilema_0_842366425.html" TargetMode="External"/><Relationship Id="rId702" Type="http://schemas.openxmlformats.org/officeDocument/2006/relationships/hyperlink" Target="http://pic.twitter.com/M6s32MMN9R" TargetMode="External"/><Relationship Id="rId1125" Type="http://schemas.openxmlformats.org/officeDocument/2006/relationships/hyperlink" Target="http://www.bitmomentum.com/" TargetMode="External"/><Relationship Id="rId1332" Type="http://schemas.openxmlformats.org/officeDocument/2006/relationships/hyperlink" Target="http://j.mp/2RCdrFU" TargetMode="External"/><Relationship Id="rId1777" Type="http://schemas.openxmlformats.org/officeDocument/2006/relationships/hyperlink" Target="https://www.ciudadanos-cs.org/" TargetMode="External"/><Relationship Id="rId1984" Type="http://schemas.openxmlformats.org/officeDocument/2006/relationships/hyperlink" Target="https://www.facebook.com/CiudadanosLaPuebladelRio/videos/1416034765197945/" TargetMode="External"/><Relationship Id="rId69" Type="http://schemas.openxmlformats.org/officeDocument/2006/relationships/hyperlink" Target="https://pbs.twimg.com/media/Dt5al4oXcAIv_5B.jpg" TargetMode="External"/><Relationship Id="rId1637" Type="http://schemas.openxmlformats.org/officeDocument/2006/relationships/hyperlink" Target="http://atres.red/4ncii6048" TargetMode="External"/><Relationship Id="rId1844" Type="http://schemas.openxmlformats.org/officeDocument/2006/relationships/hyperlink" Target="https://pbs.twimg.com/media/DtpkJA3XcAEL6mh.jpg" TargetMode="External"/><Relationship Id="rId1704" Type="http://schemas.openxmlformats.org/officeDocument/2006/relationships/hyperlink" Target="http://a.msn.com/01/es-es/BBQwg6d?ocid=st" TargetMode="External"/><Relationship Id="rId285" Type="http://schemas.openxmlformats.org/officeDocument/2006/relationships/hyperlink" Target="https://pbs.twimg.com/media/Dt1gjx6W4AUmhnM.jpg" TargetMode="External"/><Relationship Id="rId1911" Type="http://schemas.openxmlformats.org/officeDocument/2006/relationships/hyperlink" Target="https://www.diariosur.es/elecciones/andaluzas/rivera-dice-irresponsable-20181205141401-nt.html" TargetMode="External"/><Relationship Id="rId492" Type="http://schemas.openxmlformats.org/officeDocument/2006/relationships/hyperlink" Target="http://www.eleconomista.es/mercados-cotizaciones/noticias/9567860/12/18/Cuanto-cuesta-tener-un-entrenador-personal-para-el-ahorro.html" TargetMode="External"/><Relationship Id="rId797" Type="http://schemas.openxmlformats.org/officeDocument/2006/relationships/hyperlink" Target="https://pbs.twimg.com/media/DtsFykYXQAA59pc.jpg" TargetMode="External"/><Relationship Id="rId2173" Type="http://schemas.openxmlformats.org/officeDocument/2006/relationships/hyperlink" Target="https://www.20minutos.es/noticia/3508559/0/albert-rivera-defender-nuestra-constitucion/%23xtor=AD-15&amp;xts=467263%23xtor=AD-15&amp;xts=467263" TargetMode="External"/><Relationship Id="rId2380" Type="http://schemas.openxmlformats.org/officeDocument/2006/relationships/hyperlink" Target="https://youtu.be/V9YYQDqha-Q?etp74=1516272514" TargetMode="External"/><Relationship Id="rId2478" Type="http://schemas.openxmlformats.org/officeDocument/2006/relationships/hyperlink" Target="http://pic.twitter.com/vYTLza3Orh" TargetMode="External"/><Relationship Id="rId145" Type="http://schemas.openxmlformats.org/officeDocument/2006/relationships/hyperlink" Target="https://blogs.elconfidencial.com/espana/notebook/2018-12-08/vox-albert-rivera-pactos-andalucia-centro-europeista_1692818/?utm_source=twitter&amp;utm_medium=social&amp;utm_campaign=BotoneraWeb" TargetMode="External"/><Relationship Id="rId352" Type="http://schemas.openxmlformats.org/officeDocument/2006/relationships/hyperlink" Target="http://www.citizengo.org/hazteoir/pc/167099-al-psoe-ni-agua-sr-rivera?tc=tw&amp;tcid=52570882" TargetMode="External"/><Relationship Id="rId1287" Type="http://schemas.openxmlformats.org/officeDocument/2006/relationships/hyperlink" Target="http://www.bitmomentum.com/" TargetMode="External"/><Relationship Id="rId2033" Type="http://schemas.openxmlformats.org/officeDocument/2006/relationships/hyperlink" Target="http://www.elmundo.es/espana.html" TargetMode="External"/><Relationship Id="rId2240" Type="http://schemas.openxmlformats.org/officeDocument/2006/relationships/hyperlink" Target="https://www.20minutos.es/noticia/3508559/0/albert-rivera-defender-nuestra-constitucion/?utm_source=twitter.com&amp;utm_medium=socialshare&amp;utm_campaign=mobile_amp" TargetMode="External"/><Relationship Id="rId2685" Type="http://schemas.openxmlformats.org/officeDocument/2006/relationships/hyperlink" Target="https://pbs.twimg.com/media/DtkO6JgWwAAFGVe.jpg" TargetMode="External"/><Relationship Id="rId212" Type="http://schemas.openxmlformats.org/officeDocument/2006/relationships/hyperlink" Target="http://www.diario16.com/" TargetMode="External"/><Relationship Id="rId657" Type="http://schemas.openxmlformats.org/officeDocument/2006/relationships/hyperlink" Target="https://www.elplural.com/politica/lo-nunca-contado-de-la-intima-amistad-entre-albert-rivera-y-santiago-abascal_207666102" TargetMode="External"/><Relationship Id="rId864" Type="http://schemas.openxmlformats.org/officeDocument/2006/relationships/hyperlink" Target="http://pic.twitter.com/dOBcRLab6s" TargetMode="External"/><Relationship Id="rId1494" Type="http://schemas.openxmlformats.org/officeDocument/2006/relationships/hyperlink" Target="http://dlvr.it/QswLX9" TargetMode="External"/><Relationship Id="rId1799" Type="http://schemas.openxmlformats.org/officeDocument/2006/relationships/hyperlink" Target="https://www.lavanguardia.com/politica/20181205/453377887754/ciudadanos-albert-rivera-prioriza-pacto-pp-andalucia-irresponsable-descartar-vox-santiago-abascal.html?utm_campaign=botones_sociales_app&amp;utm_source=twitter&amp;utm_medium=social" TargetMode="External"/><Relationship Id="rId2100" Type="http://schemas.openxmlformats.org/officeDocument/2006/relationships/hyperlink" Target="https://twitter.com/Albert_Rivera/status/1070277976313524224" TargetMode="External"/><Relationship Id="rId2338" Type="http://schemas.openxmlformats.org/officeDocument/2006/relationships/hyperlink" Target="http://pic.twitter.com/Nh06aDRDks" TargetMode="External"/><Relationship Id="rId2545" Type="http://schemas.openxmlformats.org/officeDocument/2006/relationships/hyperlink" Target="https://twitter.com/JunckerEU/status/1066333090312871941" TargetMode="External"/><Relationship Id="rId2752" Type="http://schemas.openxmlformats.org/officeDocument/2006/relationships/hyperlink" Target="http://www.elclubdelosviernes.org/" TargetMode="External"/><Relationship Id="rId517" Type="http://schemas.openxmlformats.org/officeDocument/2006/relationships/hyperlink" Target="https://twitter.com/notienred/status/1070814367103500294" TargetMode="External"/><Relationship Id="rId724" Type="http://schemas.openxmlformats.org/officeDocument/2006/relationships/hyperlink" Target="https://www.ciudadanos-cs.org/prensa/rivera-gracias-a-nuestra-constitucion-pasamos-de-ser-enemigos-a-compatriotas/11144" TargetMode="External"/><Relationship Id="rId931" Type="http://schemas.openxmlformats.org/officeDocument/2006/relationships/hyperlink" Target="http://www.eldiario.es/" TargetMode="External"/><Relationship Id="rId1147" Type="http://schemas.openxmlformats.org/officeDocument/2006/relationships/hyperlink" Target="http://shr.gs/eJH9v1V" TargetMode="External"/><Relationship Id="rId1354" Type="http://schemas.openxmlformats.org/officeDocument/2006/relationships/hyperlink" Target="https://pbs.twimg.com/media/Dtp5SugW0AAX33O.jpg" TargetMode="External"/><Relationship Id="rId1561" Type="http://schemas.openxmlformats.org/officeDocument/2006/relationships/hyperlink" Target="http://emeli&#248;.com/" TargetMode="External"/><Relationship Id="rId2405" Type="http://schemas.openxmlformats.org/officeDocument/2006/relationships/hyperlink" Target="http://elconfidencial.com/" TargetMode="External"/><Relationship Id="rId2612" Type="http://schemas.openxmlformats.org/officeDocument/2006/relationships/hyperlink" Target="http://twib.in/l/ABq9yb9KeeMq" TargetMode="External"/><Relationship Id="rId60" Type="http://schemas.openxmlformats.org/officeDocument/2006/relationships/hyperlink" Target="https://www.elplural.com/politica/lo-nunca-contado-de-la-intima-amistad-entre-albert-rivera-y-santiago-abascal_207666102_amp?__twitter_impression=true" TargetMode="External"/><Relationship Id="rId1007" Type="http://schemas.openxmlformats.org/officeDocument/2006/relationships/hyperlink" Target="http://asnerp.com/" TargetMode="External"/><Relationship Id="rId1214" Type="http://schemas.openxmlformats.org/officeDocument/2006/relationships/hyperlink" Target="https://youtu.be/RTaLCxiU6KU" TargetMode="External"/><Relationship Id="rId1421" Type="http://schemas.openxmlformats.org/officeDocument/2006/relationships/hyperlink" Target="https://pbs.twimg.com/media/Dtq8UCnWoAMEkWd.jpg" TargetMode="External"/><Relationship Id="rId1659" Type="http://schemas.openxmlformats.org/officeDocument/2006/relationships/hyperlink" Target="http://shr.gs/4Yk1ljg" TargetMode="External"/><Relationship Id="rId1866" Type="http://schemas.openxmlformats.org/officeDocument/2006/relationships/hyperlink" Target="http://a.msn.com/01/es-es/BBQwg6d?ocid=st" TargetMode="External"/><Relationship Id="rId1519" Type="http://schemas.openxmlformats.org/officeDocument/2006/relationships/hyperlink" Target="https://comentaconjose.blogspot.com.es/" TargetMode="External"/><Relationship Id="rId1726" Type="http://schemas.openxmlformats.org/officeDocument/2006/relationships/hyperlink" Target="https://twitter.com/Cienrosas/status/1070319953616756737" TargetMode="External"/><Relationship Id="rId1933" Type="http://schemas.openxmlformats.org/officeDocument/2006/relationships/hyperlink" Target="https://twitter.com/CiudadanosCs/status/907867668069404672" TargetMode="External"/><Relationship Id="rId18" Type="http://schemas.openxmlformats.org/officeDocument/2006/relationships/hyperlink" Target="http://www.huffingtonpost.es/" TargetMode="External"/><Relationship Id="rId2195" Type="http://schemas.openxmlformats.org/officeDocument/2006/relationships/hyperlink" Target="https://www.voxespana.es/afiliarse-a-vox" TargetMode="External"/><Relationship Id="rId167" Type="http://schemas.openxmlformats.org/officeDocument/2006/relationships/hyperlink" Target="https://pbs.twimg.com/media/Dtvmhj9X4AEjLjs.jpg" TargetMode="External"/><Relationship Id="rId374" Type="http://schemas.openxmlformats.org/officeDocument/2006/relationships/hyperlink" Target="https://twitter.com/elzulista/status/1070453038467465216" TargetMode="External"/><Relationship Id="rId581" Type="http://schemas.openxmlformats.org/officeDocument/2006/relationships/hyperlink" Target="https://pbs.twimg.com/media/DtxbJbSU8AAAnzO.jpg" TargetMode="External"/><Relationship Id="rId2055" Type="http://schemas.openxmlformats.org/officeDocument/2006/relationships/hyperlink" Target="http://cadenaser.com/emisora/2018/12/05/radio_valladolid/1544011958_660205.html?ssm=tw" TargetMode="External"/><Relationship Id="rId2262" Type="http://schemas.openxmlformats.org/officeDocument/2006/relationships/hyperlink" Target="https://www.ciudadanos-cs.org/" TargetMode="External"/><Relationship Id="rId234" Type="http://schemas.openxmlformats.org/officeDocument/2006/relationships/hyperlink" Target="https://pbs.twimg.com/media/Dt2bTLqX4AEq7zZ.jpg" TargetMode="External"/><Relationship Id="rId679" Type="http://schemas.openxmlformats.org/officeDocument/2006/relationships/hyperlink" Target="https://twitter.com/Er_Richal/status/1070447615844716544" TargetMode="External"/><Relationship Id="rId886" Type="http://schemas.openxmlformats.org/officeDocument/2006/relationships/hyperlink" Target="https://curiouscat.me/isapavonn/post/725743464?t=1544105007" TargetMode="External"/><Relationship Id="rId2567" Type="http://schemas.openxmlformats.org/officeDocument/2006/relationships/hyperlink" Target="http://pic.twitter.com/L8QByddgF8" TargetMode="External"/><Relationship Id="rId2774" Type="http://schemas.openxmlformats.org/officeDocument/2006/relationships/hyperlink" Target="https://pbs.twimg.com/media/DtjbcphWkAEj0Ii.jpg" TargetMode="External"/><Relationship Id="rId2" Type="http://schemas.openxmlformats.org/officeDocument/2006/relationships/hyperlink" Target="http://pic.twitter.com/uBe9gIQSSE" TargetMode="External"/><Relationship Id="rId441" Type="http://schemas.openxmlformats.org/officeDocument/2006/relationships/hyperlink" Target="http://pic.twitter.com/x2YQ2k8WrQ" TargetMode="External"/><Relationship Id="rId539" Type="http://schemas.openxmlformats.org/officeDocument/2006/relationships/hyperlink" Target="https://www.youtube.com/watch?v=kkG_dWoUpyc&amp;feature=youtu.be" TargetMode="External"/><Relationship Id="rId746" Type="http://schemas.openxmlformats.org/officeDocument/2006/relationships/hyperlink" Target="http://www.citizengo.org/hazteoir/pc/167099-al-psoe-ni-agua-sr-rivera?tc=tw&amp;tcid=52559105" TargetMode="External"/><Relationship Id="rId1071" Type="http://schemas.openxmlformats.org/officeDocument/2006/relationships/hyperlink" Target="http://pic.twitter.com/Q6wowfYskJ" TargetMode="External"/><Relationship Id="rId1169" Type="http://schemas.openxmlformats.org/officeDocument/2006/relationships/hyperlink" Target="http://heral.do/hsqdm1" TargetMode="External"/><Relationship Id="rId1376" Type="http://schemas.openxmlformats.org/officeDocument/2006/relationships/hyperlink" Target="http://www.elnacional.cat/es/politica/albert-rivera-vox-andalucia_331920_102.html?utm_campaign=011e6a91b5-EMAIL_CAMPAIGN_2018_08_12_08_43_COPY_01&amp;utm_medium=email&amp;utm_source=Newsletter%20CASTELLANO&amp;utm_term=0_0009272682-011e6a91b5-304798833" TargetMode="External"/><Relationship Id="rId1583" Type="http://schemas.openxmlformats.org/officeDocument/2006/relationships/hyperlink" Target="http://www.spandalucia.com/" TargetMode="External"/><Relationship Id="rId2122" Type="http://schemas.openxmlformats.org/officeDocument/2006/relationships/hyperlink" Target="https://youtu.be/GGEKSWjifGQ" TargetMode="External"/><Relationship Id="rId2427" Type="http://schemas.openxmlformats.org/officeDocument/2006/relationships/hyperlink" Target="https://pbs.twimg.com/media/Dtmj6YfXcAAflzW.jpg" TargetMode="External"/><Relationship Id="rId301" Type="http://schemas.openxmlformats.org/officeDocument/2006/relationships/hyperlink" Target="http://www.huffingtonpost.es/" TargetMode="External"/><Relationship Id="rId953" Type="http://schemas.openxmlformats.org/officeDocument/2006/relationships/hyperlink" Target="http://www.instagram.com/mealsandtrips" TargetMode="External"/><Relationship Id="rId1029" Type="http://schemas.openxmlformats.org/officeDocument/2006/relationships/hyperlink" Target="https://pbs.twimg.com/media/DtusKXOXgAIXNrU.jpg" TargetMode="External"/><Relationship Id="rId1236" Type="http://schemas.openxmlformats.org/officeDocument/2006/relationships/hyperlink" Target="https://www.20minutos.es/noticia/3508559/0/albert-rivera-defender-nuestra-constitucion/?utm_source=twitter.com&amp;utm_medium=socialshare&amp;utm_campaign=mobile_amp" TargetMode="External"/><Relationship Id="rId1790" Type="http://schemas.openxmlformats.org/officeDocument/2006/relationships/hyperlink" Target="https://www.europapress.es/nacional/noticia-pablo-iglesias-albert-rivera-joan-tarda-ana-oramas-candidatos-mejor-orador-parlamento-20181205181052.html" TargetMode="External"/><Relationship Id="rId1888" Type="http://schemas.openxmlformats.org/officeDocument/2006/relationships/hyperlink" Target="http://www.elindependientedegranada.es/politica/rivera-cree-irresponsable-descartar-pacto-con-vox" TargetMode="External"/><Relationship Id="rId2634" Type="http://schemas.openxmlformats.org/officeDocument/2006/relationships/hyperlink" Target="http://www.proyurbin.com/" TargetMode="External"/><Relationship Id="rId82" Type="http://schemas.openxmlformats.org/officeDocument/2006/relationships/hyperlink" Target="http://linkedin.com/in/dgpastor" TargetMode="External"/><Relationship Id="rId606" Type="http://schemas.openxmlformats.org/officeDocument/2006/relationships/hyperlink" Target="http://pic.twitter.com/20yF6WPkHy" TargetMode="External"/><Relationship Id="rId813" Type="http://schemas.openxmlformats.org/officeDocument/2006/relationships/hyperlink" Target="https://cronicaglobal.elespanol.com/politica/puigdemont-aplaude-escrache-ciudadanos_204975_102.html" TargetMode="External"/><Relationship Id="rId1443" Type="http://schemas.openxmlformats.org/officeDocument/2006/relationships/hyperlink" Target="http://pic.twitter.com/hNGxlsIz8P" TargetMode="External"/><Relationship Id="rId1650" Type="http://schemas.openxmlformats.org/officeDocument/2006/relationships/hyperlink" Target="https://www.instagram.com/rafagarcialar/" TargetMode="External"/><Relationship Id="rId1748" Type="http://schemas.openxmlformats.org/officeDocument/2006/relationships/hyperlink" Target="https://goo.gl/PtrzFz" TargetMode="External"/><Relationship Id="rId2701" Type="http://schemas.openxmlformats.org/officeDocument/2006/relationships/hyperlink" Target="http://jovenes.ciudadanos-cs.org/" TargetMode="External"/><Relationship Id="rId1303" Type="http://schemas.openxmlformats.org/officeDocument/2006/relationships/hyperlink" Target="https://twitter.com/Albert_Rivera/status/1070425503234961410" TargetMode="External"/><Relationship Id="rId1510" Type="http://schemas.openxmlformats.org/officeDocument/2006/relationships/hyperlink" Target="https://pbs.twimg.com/media/DtrhVlCWsAwu3Sx.jpg" TargetMode="External"/><Relationship Id="rId1955" Type="http://schemas.openxmlformats.org/officeDocument/2006/relationships/hyperlink" Target="https://www.elmundo.es/espana/2018/12/05/5c07d10afc6c83de3f8b475c.html" TargetMode="External"/><Relationship Id="rId1608" Type="http://schemas.openxmlformats.org/officeDocument/2006/relationships/hyperlink" Target="http://volvemos.org/" TargetMode="External"/><Relationship Id="rId1815" Type="http://schemas.openxmlformats.org/officeDocument/2006/relationships/hyperlink" Target="https://elpais.com/internacional/2018/12/04/actualidad/1543949356_728735.html" TargetMode="External"/><Relationship Id="rId189" Type="http://schemas.openxmlformats.org/officeDocument/2006/relationships/hyperlink" Target="https://pbs.twimg.com/media/Dt4SH7-W0AUqpta.jpg" TargetMode="External"/><Relationship Id="rId396" Type="http://schemas.openxmlformats.org/officeDocument/2006/relationships/hyperlink" Target="https://www.eldiario.es/politica/Gobierno-cuestiona-PP-Ciudadanos-Junta_0_843765967.html" TargetMode="External"/><Relationship Id="rId2077" Type="http://schemas.openxmlformats.org/officeDocument/2006/relationships/hyperlink" Target="https://pbs.twimg.com/media/Dtp3h5-U4AEnbX4.jpg" TargetMode="External"/><Relationship Id="rId2284" Type="http://schemas.openxmlformats.org/officeDocument/2006/relationships/hyperlink" Target="https://pbs.twimg.com/media/Dto4VFsXQAA3Pfy.jpg" TargetMode="External"/><Relationship Id="rId2491" Type="http://schemas.openxmlformats.org/officeDocument/2006/relationships/hyperlink" Target="https://pbs.twimg.com/media/DtlaFLPW4AYOZnz.jpg" TargetMode="External"/><Relationship Id="rId256" Type="http://schemas.openxmlformats.org/officeDocument/2006/relationships/hyperlink" Target="https://twitter.com/iuantequera/status/1071007155753496582" TargetMode="External"/><Relationship Id="rId463" Type="http://schemas.openxmlformats.org/officeDocument/2006/relationships/hyperlink" Target="http://www.citizengo.org/hazteoir/pc/167099-al-psoe-ni-agua-sr-rivera?tc=tw&amp;tcid=52565383" TargetMode="External"/><Relationship Id="rId670" Type="http://schemas.openxmlformats.org/officeDocument/2006/relationships/hyperlink" Target="https://www.elplural.com/politica/lo-nunca-contado-de-la-intima-amistad-entre-albert-rivera-y-santiago-abascal_207666102" TargetMode="External"/><Relationship Id="rId1093" Type="http://schemas.openxmlformats.org/officeDocument/2006/relationships/hyperlink" Target="http://www.abc.es/autor/victor-ruiz-de-almiron-lopez-1435/" TargetMode="External"/><Relationship Id="rId2144" Type="http://schemas.openxmlformats.org/officeDocument/2006/relationships/hyperlink" Target="http://magicfrostyspain.com/" TargetMode="External"/><Relationship Id="rId2351" Type="http://schemas.openxmlformats.org/officeDocument/2006/relationships/hyperlink" Target="http://ver.20m.es/0cknh6" TargetMode="External"/><Relationship Id="rId2589" Type="http://schemas.openxmlformats.org/officeDocument/2006/relationships/hyperlink" Target="https://pbs.twimg.com/media/Dtk8tQzXQAIgMGH.jpg" TargetMode="External"/><Relationship Id="rId116" Type="http://schemas.openxmlformats.org/officeDocument/2006/relationships/hyperlink" Target="https://www.elconfidencialdigital.com/articulo/politica/albert-rivera-tiene-plan-pactar-vox-enfadar-socios-europeos/20181207212045119111.html" TargetMode="External"/><Relationship Id="rId323" Type="http://schemas.openxmlformats.org/officeDocument/2006/relationships/hyperlink" Target="http://www.nowebpage.es/" TargetMode="External"/><Relationship Id="rId530" Type="http://schemas.openxmlformats.org/officeDocument/2006/relationships/hyperlink" Target="https://www.eldiario.es/politica/Iglesias-Morales-Palacio-Gobierno-Bolivia_0_706580280.html" TargetMode="External"/><Relationship Id="rId768" Type="http://schemas.openxmlformats.org/officeDocument/2006/relationships/hyperlink" Target="http://www.bitmomentum.com/" TargetMode="External"/><Relationship Id="rId975" Type="http://schemas.openxmlformats.org/officeDocument/2006/relationships/hyperlink" Target="http://www.citizengo.org/hazteoir/pc/167099-al-psoe-ni-agua-sr-rivera?tc=tw" TargetMode="External"/><Relationship Id="rId1160" Type="http://schemas.openxmlformats.org/officeDocument/2006/relationships/hyperlink" Target="http://pic.twitter.com/hNGxlsIz8P" TargetMode="External"/><Relationship Id="rId1398" Type="http://schemas.openxmlformats.org/officeDocument/2006/relationships/hyperlink" Target="http://pic.twitter.com/HwpCZM1EMt" TargetMode="External"/><Relationship Id="rId2004" Type="http://schemas.openxmlformats.org/officeDocument/2006/relationships/hyperlink" Target="https://elpais.com/politica/2018/12/04/actualidad/1543949909_697562.html" TargetMode="External"/><Relationship Id="rId2211" Type="http://schemas.openxmlformats.org/officeDocument/2006/relationships/hyperlink" Target="https://ift.tt/2E2KqQ0" TargetMode="External"/><Relationship Id="rId2449" Type="http://schemas.openxmlformats.org/officeDocument/2006/relationships/hyperlink" Target="https://twitter.com/PatriotaNene/status/1069687892316995585" TargetMode="External"/><Relationship Id="rId2656" Type="http://schemas.openxmlformats.org/officeDocument/2006/relationships/hyperlink" Target="http://blogmiyares.blogspot.com/" TargetMode="External"/><Relationship Id="rId628" Type="http://schemas.openxmlformats.org/officeDocument/2006/relationships/hyperlink" Target="https://www.elplural.com/politica/lo-nunca-contado-de-la-intima-amistad-entre-albert-rivera-y-santiago-abascal_207666102" TargetMode="External"/><Relationship Id="rId835" Type="http://schemas.openxmlformats.org/officeDocument/2006/relationships/hyperlink" Target="https://okdiario.com/espana/2018/12/05/iglesias-plantea-ciudadanos-que-ponga-encima-mesa-acuerdo-andalucia-3430367/amp?__twitter_impression=true" TargetMode="External"/><Relationship Id="rId1258" Type="http://schemas.openxmlformats.org/officeDocument/2006/relationships/hyperlink" Target="http://lrzn.es/gt8bv3" TargetMode="External"/><Relationship Id="rId1465" Type="http://schemas.openxmlformats.org/officeDocument/2006/relationships/hyperlink" Target="https://www.facebook.com/vicente.ten/" TargetMode="External"/><Relationship Id="rId1672" Type="http://schemas.openxmlformats.org/officeDocument/2006/relationships/hyperlink" Target="https://www.eldiario.es/_30afab26" TargetMode="External"/><Relationship Id="rId2309" Type="http://schemas.openxmlformats.org/officeDocument/2006/relationships/hyperlink" Target="http://ver.20m.es/6aq4v1" TargetMode="External"/><Relationship Id="rId2516" Type="http://schemas.openxmlformats.org/officeDocument/2006/relationships/hyperlink" Target="https://pbs.twimg.com/media/Dtl1Ac8XcAA3Kc8.jpg" TargetMode="External"/><Relationship Id="rId2723" Type="http://schemas.openxmlformats.org/officeDocument/2006/relationships/hyperlink" Target="http://www.enblau.com/es/" TargetMode="External"/><Relationship Id="rId1020" Type="http://schemas.openxmlformats.org/officeDocument/2006/relationships/hyperlink" Target="https://twitter.com/Albert_Rivera/status/1070425503234961410" TargetMode="External"/><Relationship Id="rId1118" Type="http://schemas.openxmlformats.org/officeDocument/2006/relationships/hyperlink" Target="https://pbs.twimg.com/media/DtpSIPMWsAA8nMe.jpg" TargetMode="External"/><Relationship Id="rId1325" Type="http://schemas.openxmlformats.org/officeDocument/2006/relationships/hyperlink" Target="http://noticiasvenezuela.org/" TargetMode="External"/><Relationship Id="rId1532" Type="http://schemas.openxmlformats.org/officeDocument/2006/relationships/hyperlink" Target="https://kaleidoskopiodegabalaui.com/" TargetMode="External"/><Relationship Id="rId1977" Type="http://schemas.openxmlformats.org/officeDocument/2006/relationships/hyperlink" Target="http://listas.20minutos.es/otros/" TargetMode="External"/><Relationship Id="rId902" Type="http://schemas.openxmlformats.org/officeDocument/2006/relationships/hyperlink" Target="https://pbs.twimg.com/media/DtreVhpX4AEypIK.jpg" TargetMode="External"/><Relationship Id="rId1837" Type="http://schemas.openxmlformats.org/officeDocument/2006/relationships/hyperlink" Target="https://pbs.twimg.com/media/Dtqnln2XgAASmKv.jpg" TargetMode="External"/><Relationship Id="rId31" Type="http://schemas.openxmlformats.org/officeDocument/2006/relationships/hyperlink" Target="https://twitter.com/rosadiezglez/status/1071335367855476738" TargetMode="External"/><Relationship Id="rId2099" Type="http://schemas.openxmlformats.org/officeDocument/2006/relationships/hyperlink" Target="http://www.canalsur.es/" TargetMode="External"/><Relationship Id="rId180" Type="http://schemas.openxmlformats.org/officeDocument/2006/relationships/hyperlink" Target="https://www.elconfidencialdigital.com/articulo/politica/albert-rivera-tiene-plan-pactar-vox-enfadar-socios-europeos/20181207212045119111.html" TargetMode="External"/><Relationship Id="rId278" Type="http://schemas.openxmlformats.org/officeDocument/2006/relationships/hyperlink" Target="http://www.citizengo.org/hazteoir/pc/167099-al-psoe-ni-agua-sr-rivera?tc=tw&amp;tcid=52574336" TargetMode="External"/><Relationship Id="rId1904" Type="http://schemas.openxmlformats.org/officeDocument/2006/relationships/hyperlink" Target="https://pbs.twimg.com/media/DthDL0jWoAE5PZi.jpg" TargetMode="External"/><Relationship Id="rId485" Type="http://schemas.openxmlformats.org/officeDocument/2006/relationships/hyperlink" Target="https://youtu.be/RTaLCxiU6KU" TargetMode="External"/><Relationship Id="rId692" Type="http://schemas.openxmlformats.org/officeDocument/2006/relationships/hyperlink" Target="https://youtu.be/kkG_dWoUpyc" TargetMode="External"/><Relationship Id="rId2166" Type="http://schemas.openxmlformats.org/officeDocument/2006/relationships/hyperlink" Target="http://calafell.ciudadanos-cs.org/" TargetMode="External"/><Relationship Id="rId2373" Type="http://schemas.openxmlformats.org/officeDocument/2006/relationships/hyperlink" Target="https://www.huffingtonpost.es/2018/12/04/el-duro-editorial-de-le-monde-que-no-gustara-ni-a-casado-ni-a-rivera-es-peligroso_a_23608193/?ncid=other_twitter_cooo9wqtham&amp;utm_campaign=share_twitter" TargetMode="External"/><Relationship Id="rId2580" Type="http://schemas.openxmlformats.org/officeDocument/2006/relationships/hyperlink" Target="https://www.publico.es/tremending/2018/12/04/elecciones-andalucia-2018-el-exlider-del-ku-klux-klan-david-duke-celebra-el-resultado-de-vox-en-andalucia/" TargetMode="External"/><Relationship Id="rId138" Type="http://schemas.openxmlformats.org/officeDocument/2006/relationships/hyperlink" Target="https://twitter.com/govern/status/1070715545622847488" TargetMode="External"/><Relationship Id="rId345" Type="http://schemas.openxmlformats.org/officeDocument/2006/relationships/hyperlink" Target="http://shr.gs/UKQASjW" TargetMode="External"/><Relationship Id="rId552" Type="http://schemas.openxmlformats.org/officeDocument/2006/relationships/hyperlink" Target="https://pbs.twimg.com/media/DtzBIh9XcAAYNHe.jpg" TargetMode="External"/><Relationship Id="rId997" Type="http://schemas.openxmlformats.org/officeDocument/2006/relationships/hyperlink" Target="https://pbs.twimg.com/media/Dtu020hXgAErRvP.jpg" TargetMode="External"/><Relationship Id="rId1182" Type="http://schemas.openxmlformats.org/officeDocument/2006/relationships/hyperlink" Target="https://pbs.twimg.com/media/DtuMX-KU4AIc60p.jpg" TargetMode="External"/><Relationship Id="rId2026" Type="http://schemas.openxmlformats.org/officeDocument/2006/relationships/hyperlink" Target="http://www.ciudadanos-cs.org/" TargetMode="External"/><Relationship Id="rId2233" Type="http://schemas.openxmlformats.org/officeDocument/2006/relationships/hyperlink" Target="http://blogdebabunita.blogspot.com/" TargetMode="External"/><Relationship Id="rId2440" Type="http://schemas.openxmlformats.org/officeDocument/2006/relationships/hyperlink" Target="http://albertosanzblanco.wordpress.com/" TargetMode="External"/><Relationship Id="rId2678" Type="http://schemas.openxmlformats.org/officeDocument/2006/relationships/hyperlink" Target="https://pbs.twimg.com/media/DtkUujxWsAAS5eC.jpg" TargetMode="External"/><Relationship Id="rId205" Type="http://schemas.openxmlformats.org/officeDocument/2006/relationships/hyperlink" Target="http://flip.it/PsDNyp" TargetMode="External"/><Relationship Id="rId412" Type="http://schemas.openxmlformats.org/officeDocument/2006/relationships/hyperlink" Target="https://pbs.twimg.com/media/CZ0QFd_WEAAsqtW.jpg" TargetMode="External"/><Relationship Id="rId857" Type="http://schemas.openxmlformats.org/officeDocument/2006/relationships/hyperlink" Target="http://www.bitmomentum.com/" TargetMode="External"/><Relationship Id="rId1042" Type="http://schemas.openxmlformats.org/officeDocument/2006/relationships/hyperlink" Target="http://pic.twitter.com/Q6wowfYskJ" TargetMode="External"/><Relationship Id="rId1487" Type="http://schemas.openxmlformats.org/officeDocument/2006/relationships/hyperlink" Target="https://pbs.twimg.com/media/DtrTDcjXcAEvj0Y.jpg" TargetMode="External"/><Relationship Id="rId1694" Type="http://schemas.openxmlformats.org/officeDocument/2006/relationships/hyperlink" Target="https://www.huffingtonpost.es/2018/12/05/intentan-boicotear-un-acto-de-albert-rivera-en-el-liceo-al-grito-de-fuera-fascistas_a_23609607/" TargetMode="External"/><Relationship Id="rId2300" Type="http://schemas.openxmlformats.org/officeDocument/2006/relationships/hyperlink" Target="https://www.20minutos.es/noticia/3508559/0/albert-rivera-defender-nuestra-constitucion/" TargetMode="External"/><Relationship Id="rId2538" Type="http://schemas.openxmlformats.org/officeDocument/2006/relationships/hyperlink" Target="https://www.20minutos.es/noticia/3508831/0/carta-viral-abierta-andaluz-medico-pablo-iglesias-cuando-usted-predica-pobreza-pero-compra-chale-nace-fascista-elecciones-andalucia-2018-podemos-vox/" TargetMode="External"/><Relationship Id="rId2745" Type="http://schemas.openxmlformats.org/officeDocument/2006/relationships/hyperlink" Target="https://pbs.twimg.com/media/Dtjy5ETWwAAhf7Z.jpg" TargetMode="External"/><Relationship Id="rId717" Type="http://schemas.openxmlformats.org/officeDocument/2006/relationships/hyperlink" Target="http://www.spainsucks.com/" TargetMode="External"/><Relationship Id="rId924" Type="http://schemas.openxmlformats.org/officeDocument/2006/relationships/hyperlink" Target="http://antoniofse.com/" TargetMode="External"/><Relationship Id="rId1347" Type="http://schemas.openxmlformats.org/officeDocument/2006/relationships/hyperlink" Target="http://www.enblau.com/es/" TargetMode="External"/><Relationship Id="rId1554" Type="http://schemas.openxmlformats.org/officeDocument/2006/relationships/hyperlink" Target="http://www.bitmomentum.com/" TargetMode="External"/><Relationship Id="rId1761" Type="http://schemas.openxmlformats.org/officeDocument/2006/relationships/hyperlink" Target="http://pic.twitter.com/qVMfttZId8" TargetMode="External"/><Relationship Id="rId1999" Type="http://schemas.openxmlformats.org/officeDocument/2006/relationships/hyperlink" Target="https://www.hispanidad.com/confidencial/rivera-dispuesto-a-pactar-con-todos-en-andalucia-menos-con-el-psoe_12006013_102.html?utm_source=Twitter&amp;utm_medium=Social&amp;utm_content=Post" TargetMode="External"/><Relationship Id="rId2605" Type="http://schemas.openxmlformats.org/officeDocument/2006/relationships/hyperlink" Target="https://www.elimparcial.es/noticia/196298/opinion/impedira-albert-rivera-el-cambio-de-regimen.html" TargetMode="External"/><Relationship Id="rId53" Type="http://schemas.openxmlformats.org/officeDocument/2006/relationships/hyperlink" Target="https://www.comingsoon.com/" TargetMode="External"/><Relationship Id="rId1207" Type="http://schemas.openxmlformats.org/officeDocument/2006/relationships/hyperlink" Target="https://www.lavanguardia.com/politica/20181205/453377887754/ciudadanos-albert-rivera-prioriza-pacto-pp-andalucia-irresponsable-descartar-vox-santiago-abascal.html?utm_campaign=botones_sociales_app&amp;utm_source=twitter&amp;utm_medium=social" TargetMode="External"/><Relationship Id="rId1414" Type="http://schemas.openxmlformats.org/officeDocument/2006/relationships/hyperlink" Target="https://twitter.com/Albert_Rivera/status/1070425503234961410" TargetMode="External"/><Relationship Id="rId1621" Type="http://schemas.openxmlformats.org/officeDocument/2006/relationships/hyperlink" Target="http://susoworld33.blogspot.com.es/" TargetMode="External"/><Relationship Id="rId1859" Type="http://schemas.openxmlformats.org/officeDocument/2006/relationships/hyperlink" Target="http://maxjovengay.blogspot.com.es/" TargetMode="External"/><Relationship Id="rId1719" Type="http://schemas.openxmlformats.org/officeDocument/2006/relationships/hyperlink" Target="http://pic.twitter.com/eMfG70G2xW" TargetMode="External"/><Relationship Id="rId1926" Type="http://schemas.openxmlformats.org/officeDocument/2006/relationships/hyperlink" Target="http://www.europapress.tv/" TargetMode="External"/><Relationship Id="rId2090" Type="http://schemas.openxmlformats.org/officeDocument/2006/relationships/hyperlink" Target="https://www.linkedin.com/in/emilio-ordiz-504b72136/" TargetMode="External"/><Relationship Id="rId2188" Type="http://schemas.openxmlformats.org/officeDocument/2006/relationships/hyperlink" Target="https://twitter.com/gabrielrufian/status/1070053903570530304" TargetMode="External"/><Relationship Id="rId2395" Type="http://schemas.openxmlformats.org/officeDocument/2006/relationships/hyperlink" Target="https://pbs.twimg.com/media/Dtm1bXDWoAYE4ja.jpg" TargetMode="External"/><Relationship Id="rId367" Type="http://schemas.openxmlformats.org/officeDocument/2006/relationships/hyperlink" Target="http://pic.twitter.com/xlLbDpoF8M" TargetMode="External"/><Relationship Id="rId574" Type="http://schemas.openxmlformats.org/officeDocument/2006/relationships/hyperlink" Target="https://twitter.com/pedroblancoa/status/1070349230739464192" TargetMode="External"/><Relationship Id="rId2048" Type="http://schemas.openxmlformats.org/officeDocument/2006/relationships/hyperlink" Target="https://pbs.twimg.com/media/Dtp6DsIWoAMoI-I.jpg" TargetMode="External"/><Relationship Id="rId2255" Type="http://schemas.openxmlformats.org/officeDocument/2006/relationships/hyperlink" Target="https://www.20minutos.es/noticia/3508559/0/albert-rivera-defender-nuestra-constitucion/?utm_source=twitter.com&amp;utm_medium=socialshare&amp;utm_campaign=mobile_amp" TargetMode="External"/><Relationship Id="rId227" Type="http://schemas.openxmlformats.org/officeDocument/2006/relationships/hyperlink" Target="https://twitter.com/pita1917malaga/status/1070982559272763392" TargetMode="External"/><Relationship Id="rId781" Type="http://schemas.openxmlformats.org/officeDocument/2006/relationships/hyperlink" Target="https://www.infolibre.es/noticias/politica/2018/12/06/susana_diaz_reta_rivera_aclarar_si_ante_vox_sera_como_macron_salvini_89614_1012.html?utm_source=twitter.com&amp;utm_medium=smmshare&amp;utm_campaign=noticias&amp;rnot=1088542" TargetMode="External"/><Relationship Id="rId879" Type="http://schemas.openxmlformats.org/officeDocument/2006/relationships/hyperlink" Target="http://www.elindependientedegranada.es/politica/susana-diaz-pregunta-rivera-si-sera-como-macron-u-optara-salvini-tendra-vox-como" TargetMode="External"/><Relationship Id="rId2462" Type="http://schemas.openxmlformats.org/officeDocument/2006/relationships/hyperlink" Target="https://pbs.twimg.com/media/DtmOc8-WoAID0gL.jpg" TargetMode="External"/><Relationship Id="rId2767" Type="http://schemas.openxmlformats.org/officeDocument/2006/relationships/hyperlink" Target="https://www.artstation.com/elsordomudo" TargetMode="External"/><Relationship Id="rId434" Type="http://schemas.openxmlformats.org/officeDocument/2006/relationships/hyperlink" Target="https://twitter.com/AndaluciaxSi/status/1066726312700727296" TargetMode="External"/><Relationship Id="rId641" Type="http://schemas.openxmlformats.org/officeDocument/2006/relationships/hyperlink" Target="http://www.bitmomentum.com/" TargetMode="External"/><Relationship Id="rId739" Type="http://schemas.openxmlformats.org/officeDocument/2006/relationships/hyperlink" Target="http://pic.twitter.com/DaUKUlfS93" TargetMode="External"/><Relationship Id="rId1064" Type="http://schemas.openxmlformats.org/officeDocument/2006/relationships/hyperlink" Target="http://www.ciudadanos-cs.org/" TargetMode="External"/><Relationship Id="rId1271" Type="http://schemas.openxmlformats.org/officeDocument/2006/relationships/hyperlink" Target="http://www.librediariodigital.net/texto-diario/mostrar/1273428/pablo-iglesias-albert-rivera-joan-tard-ana-oramas-candidatos-mejor-orador-parlamento" TargetMode="External"/><Relationship Id="rId1369" Type="http://schemas.openxmlformats.org/officeDocument/2006/relationships/hyperlink" Target="http://pic.twitter.com/XISV9tnBw6" TargetMode="External"/><Relationship Id="rId1576" Type="http://schemas.openxmlformats.org/officeDocument/2006/relationships/hyperlink" Target="https://twitter.com/CiudadanosCs/status/1070392761881378817" TargetMode="External"/><Relationship Id="rId2115" Type="http://schemas.openxmlformats.org/officeDocument/2006/relationships/hyperlink" Target="https://twitter.com/ruthleon80/status/1070275358795161600" TargetMode="External"/><Relationship Id="rId2322" Type="http://schemas.openxmlformats.org/officeDocument/2006/relationships/hyperlink" Target="https://pbs.twimg.com/media/DthbZe3WsAEB-gs.jpg" TargetMode="External"/><Relationship Id="rId501" Type="http://schemas.openxmlformats.org/officeDocument/2006/relationships/hyperlink" Target="http://canariasenhora.com/" TargetMode="External"/><Relationship Id="rId946" Type="http://schemas.openxmlformats.org/officeDocument/2006/relationships/hyperlink" Target="https://pbs.twimg.com/media/DtvBX1bWkAAJpp3.jpg" TargetMode="External"/><Relationship Id="rId1131" Type="http://schemas.openxmlformats.org/officeDocument/2006/relationships/hyperlink" Target="https://pbs.twimg.com/media/DtuYXpuWwAA3upi.jpg" TargetMode="External"/><Relationship Id="rId1229" Type="http://schemas.openxmlformats.org/officeDocument/2006/relationships/hyperlink" Target="https://pbs.twimg.com/media/Dtt3lESWsAAZjiO.jpg" TargetMode="External"/><Relationship Id="rId1783" Type="http://schemas.openxmlformats.org/officeDocument/2006/relationships/hyperlink" Target="https://www.europapress.es/nacional/noticia-pablo-iglesias-albert-rivera-joan-tarda-ana-oramas-candidatos-mejor-orador-parlamento-20181205181052.html" TargetMode="External"/><Relationship Id="rId1990" Type="http://schemas.openxmlformats.org/officeDocument/2006/relationships/hyperlink" Target="https://pbs.twimg.com/media/DtqJuKPXQAUWLCj.jpg" TargetMode="External"/><Relationship Id="rId2627" Type="http://schemas.openxmlformats.org/officeDocument/2006/relationships/hyperlink" Target="http://about.me/pepillogrillo67" TargetMode="External"/><Relationship Id="rId75" Type="http://schemas.openxmlformats.org/officeDocument/2006/relationships/hyperlink" Target="https://twitter.com/Juanmi_News/status/1071386563559481345" TargetMode="External"/><Relationship Id="rId806" Type="http://schemas.openxmlformats.org/officeDocument/2006/relationships/hyperlink" Target="http://www.ciudadanos-cs.org/" TargetMode="External"/><Relationship Id="rId1436" Type="http://schemas.openxmlformats.org/officeDocument/2006/relationships/hyperlink" Target="http://baleares.ciudadanos-cs.org/" TargetMode="External"/><Relationship Id="rId1643" Type="http://schemas.openxmlformats.org/officeDocument/2006/relationships/hyperlink" Target="https://t.co/RsfXnosUqX" TargetMode="External"/><Relationship Id="rId1850" Type="http://schemas.openxmlformats.org/officeDocument/2006/relationships/hyperlink" Target="https://www.elmundo.es/opinion/2018/12/05/5c06b60efdddfff2538b45fe.html" TargetMode="External"/><Relationship Id="rId1503" Type="http://schemas.openxmlformats.org/officeDocument/2006/relationships/hyperlink" Target="https://pbs.twimg.com/media/Dtrjk4jWkAAUF0w.jpg" TargetMode="External"/><Relationship Id="rId1710" Type="http://schemas.openxmlformats.org/officeDocument/2006/relationships/hyperlink" Target="https://elpais.com/politica/2018/12/05/actualidad/1543998700_343655.html?id_externo_rsoc=TW_CC" TargetMode="External"/><Relationship Id="rId1948" Type="http://schemas.openxmlformats.org/officeDocument/2006/relationships/hyperlink" Target="https://okdiario.com/autor/liberal" TargetMode="External"/><Relationship Id="rId291" Type="http://schemas.openxmlformats.org/officeDocument/2006/relationships/hyperlink" Target="http://www.huffingtonpost.es/" TargetMode="External"/><Relationship Id="rId1808" Type="http://schemas.openxmlformats.org/officeDocument/2006/relationships/hyperlink" Target="https://okdiario.com/espana/andalucia/2018/12/05/rivera-dispuesto-pacto-pp-sin-descartar-vox-pero-marin-presidente-3430883" TargetMode="External"/><Relationship Id="rId151" Type="http://schemas.openxmlformats.org/officeDocument/2006/relationships/hyperlink" Target="http://pic.twitter.com/8Al1nQ4ICp" TargetMode="External"/><Relationship Id="rId389" Type="http://schemas.openxmlformats.org/officeDocument/2006/relationships/hyperlink" Target="http://hazteoir.org/" TargetMode="External"/><Relationship Id="rId596" Type="http://schemas.openxmlformats.org/officeDocument/2006/relationships/hyperlink" Target="http://pic.twitter.com/MdfwvNSZyy" TargetMode="External"/><Relationship Id="rId2277" Type="http://schemas.openxmlformats.org/officeDocument/2006/relationships/hyperlink" Target="https://www.youtube.com/channel/UCY60GBj-H8SmayRG1UgDVWw" TargetMode="External"/><Relationship Id="rId2484" Type="http://schemas.openxmlformats.org/officeDocument/2006/relationships/hyperlink" Target="http://pic.twitter.com/vYTLza3Orh" TargetMode="External"/><Relationship Id="rId2691" Type="http://schemas.openxmlformats.org/officeDocument/2006/relationships/hyperlink" Target="https://pbs.twimg.com/media/DtkNYFqXgAAZ12I.jpg" TargetMode="External"/><Relationship Id="rId249" Type="http://schemas.openxmlformats.org/officeDocument/2006/relationships/hyperlink" Target="http://pic.twitter.com/OZfAb94mCU" TargetMode="External"/><Relationship Id="rId456" Type="http://schemas.openxmlformats.org/officeDocument/2006/relationships/hyperlink" Target="http://www.citizengo.org/hazteoir/pc/167099-al-psoe-ni-agua-sr-rivera?tc=tw&amp;tcid=52565868" TargetMode="External"/><Relationship Id="rId663" Type="http://schemas.openxmlformats.org/officeDocument/2006/relationships/hyperlink" Target="https://twitter.com/numer344/status/1070646509539086336" TargetMode="External"/><Relationship Id="rId870" Type="http://schemas.openxmlformats.org/officeDocument/2006/relationships/hyperlink" Target="http://j.mp/2Ef1gvH" TargetMode="External"/><Relationship Id="rId1086" Type="http://schemas.openxmlformats.org/officeDocument/2006/relationships/hyperlink" Target="https://pbs.twimg.com/media/DtuefqjWkAAjEzC.jpg" TargetMode="External"/><Relationship Id="rId1293" Type="http://schemas.openxmlformats.org/officeDocument/2006/relationships/hyperlink" Target="http://www.bitmomentum.com/" TargetMode="External"/><Relationship Id="rId2137" Type="http://schemas.openxmlformats.org/officeDocument/2006/relationships/hyperlink" Target="https://www.publico.es/politica/albert-rivera-dispuesto-no-credibilidad.html" TargetMode="External"/><Relationship Id="rId2344" Type="http://schemas.openxmlformats.org/officeDocument/2006/relationships/hyperlink" Target="https://pbs.twimg.com/media/DtohrvOU4AA_qbN.jpg" TargetMode="External"/><Relationship Id="rId2551" Type="http://schemas.openxmlformats.org/officeDocument/2006/relationships/hyperlink" Target="http://about.me/adrianmunoz" TargetMode="External"/><Relationship Id="rId2789" Type="http://schemas.openxmlformats.org/officeDocument/2006/relationships/hyperlink" Target="https://www.mundiario.com/articulo/politica/pablo-casado-albert-rivera-cambian-argumentos-despues-2-d/20181204002953139671.html" TargetMode="External"/><Relationship Id="rId109" Type="http://schemas.openxmlformats.org/officeDocument/2006/relationships/hyperlink" Target="https://www.larazon.es/espana/cuidar-nuestra-constitucion-por-albert-rivera-BP20854162" TargetMode="External"/><Relationship Id="rId316" Type="http://schemas.openxmlformats.org/officeDocument/2006/relationships/hyperlink" Target="http://instagram.com/franglezsosa" TargetMode="External"/><Relationship Id="rId523" Type="http://schemas.openxmlformats.org/officeDocument/2006/relationships/hyperlink" Target="http://www.hazteoir.org/" TargetMode="External"/><Relationship Id="rId968" Type="http://schemas.openxmlformats.org/officeDocument/2006/relationships/hyperlink" Target="https://pbs.twimg.com/media/DtueO2aWkAAnjdN.jpg" TargetMode="External"/><Relationship Id="rId1153" Type="http://schemas.openxmlformats.org/officeDocument/2006/relationships/hyperlink" Target="https://pbs.twimg.com/media/DtuOTSJXQAEft_N.jpg" TargetMode="External"/><Relationship Id="rId1598" Type="http://schemas.openxmlformats.org/officeDocument/2006/relationships/hyperlink" Target="http://www.elblogdecha.org/" TargetMode="External"/><Relationship Id="rId2204" Type="http://schemas.openxmlformats.org/officeDocument/2006/relationships/hyperlink" Target="https://www.alertanacional.es/albert-rivera-la-estafa-naranja-un-veleta-sin-principios-y-mas-falso-que-un-billete-del-monopoly/" TargetMode="External"/><Relationship Id="rId2649" Type="http://schemas.openxmlformats.org/officeDocument/2006/relationships/hyperlink" Target="https://pbs.twimg.com/media/DtkhvICW0AE8qQI.jpg" TargetMode="External"/><Relationship Id="rId97" Type="http://schemas.openxmlformats.org/officeDocument/2006/relationships/hyperlink" Target="https://t.me/JuegoPeligroso" TargetMode="External"/><Relationship Id="rId730" Type="http://schemas.openxmlformats.org/officeDocument/2006/relationships/hyperlink" Target="http://pic.twitter.com/lkjV1m6n1s" TargetMode="External"/><Relationship Id="rId828" Type="http://schemas.openxmlformats.org/officeDocument/2006/relationships/hyperlink" Target="https://www.facebook.com/Consumer-Credit-Counseling-in-Wyoming-352876335050325/" TargetMode="External"/><Relationship Id="rId1013" Type="http://schemas.openxmlformats.org/officeDocument/2006/relationships/hyperlink" Target="http://granada.ciudadanos-cs.org/" TargetMode="External"/><Relationship Id="rId1360" Type="http://schemas.openxmlformats.org/officeDocument/2006/relationships/hyperlink" Target="https://pbs.twimg.com/media/DtkUujxWsAAS5eC.jpg" TargetMode="External"/><Relationship Id="rId1458" Type="http://schemas.openxmlformats.org/officeDocument/2006/relationships/hyperlink" Target="https://www.elmundo.es/opinion/2018/12/05/5c06b60efdddfff2538b45fe.html" TargetMode="External"/><Relationship Id="rId1665" Type="http://schemas.openxmlformats.org/officeDocument/2006/relationships/hyperlink" Target="https://twitter.com/CiudadanosCs/status/1070307427344703489" TargetMode="External"/><Relationship Id="rId1872" Type="http://schemas.openxmlformats.org/officeDocument/2006/relationships/hyperlink" Target="http://www.bitmomentum.com/" TargetMode="External"/><Relationship Id="rId2411" Type="http://schemas.openxmlformats.org/officeDocument/2006/relationships/hyperlink" Target="http://lavidanoes1sola.blogspot.com.es/" TargetMode="External"/><Relationship Id="rId2509" Type="http://schemas.openxmlformats.org/officeDocument/2006/relationships/hyperlink" Target="https://twitter.com/ladypotorro/status/1069894541505937408" TargetMode="External"/><Relationship Id="rId2716" Type="http://schemas.openxmlformats.org/officeDocument/2006/relationships/hyperlink" Target="https://www.facebook.com/lacorruptecapublica/?ref=settings" TargetMode="External"/><Relationship Id="rId1220" Type="http://schemas.openxmlformats.org/officeDocument/2006/relationships/hyperlink" Target="https://goo.gl/JzNVUu?ajd24=1973158338" TargetMode="External"/><Relationship Id="rId1318" Type="http://schemas.openxmlformats.org/officeDocument/2006/relationships/hyperlink" Target="http://www.alertadigital.com/2018/12/03/la-insoportable-levedad-de-albert-rivera/?fbclid=IwAR1DGpHVyedoglyrvCaWoe7fPw2rmcAqVT03WxQZDvD2V8TPVZ_2oMBRL8g" TargetMode="External"/><Relationship Id="rId1525" Type="http://schemas.openxmlformats.org/officeDocument/2006/relationships/hyperlink" Target="http://dlvr.it/QswFLx" TargetMode="External"/><Relationship Id="rId1732" Type="http://schemas.openxmlformats.org/officeDocument/2006/relationships/hyperlink" Target="http://pic.twitter.com/GvflG8MDfS" TargetMode="External"/><Relationship Id="rId24" Type="http://schemas.openxmlformats.org/officeDocument/2006/relationships/hyperlink" Target="https://okdiario.com/opinion/2018/12/07/manuel-valls-infiltrado-3440375" TargetMode="External"/><Relationship Id="rId2299" Type="http://schemas.openxmlformats.org/officeDocument/2006/relationships/hyperlink" Target="https://pbs.twimg.com/media/Dto0fVxXQAAY-uh.jpg" TargetMode="External"/><Relationship Id="rId173" Type="http://schemas.openxmlformats.org/officeDocument/2006/relationships/hyperlink" Target="https://blogs.elconfidencial.com/espana/notebook/2018-12-08/vox-albert-rivera-pactos-andalucia-centro-europeista_1692818/?utm_campaign=BotoneraWebapp&amp;utm_source=twitter&amp;utm_medium=social" TargetMode="External"/><Relationship Id="rId380" Type="http://schemas.openxmlformats.org/officeDocument/2006/relationships/hyperlink" Target="https://twitter.com/_ju1_/status/1070822535686696965" TargetMode="External"/><Relationship Id="rId2061" Type="http://schemas.openxmlformats.org/officeDocument/2006/relationships/hyperlink" Target="http://www.elmundo.es/espana/2018/12/05/5c07b140fc6c834c318b4680.html" TargetMode="External"/><Relationship Id="rId240" Type="http://schemas.openxmlformats.org/officeDocument/2006/relationships/hyperlink" Target="https://twitter.com/JODACAL21/status/1071157363858640896" TargetMode="External"/><Relationship Id="rId478" Type="http://schemas.openxmlformats.org/officeDocument/2006/relationships/hyperlink" Target="http://castelldefels.ciudadanos-cs.org/" TargetMode="External"/><Relationship Id="rId685" Type="http://schemas.openxmlformats.org/officeDocument/2006/relationships/hyperlink" Target="http://facebook.com/f.diazfran" TargetMode="External"/><Relationship Id="rId892" Type="http://schemas.openxmlformats.org/officeDocument/2006/relationships/hyperlink" Target="http://www.bitmomentum.com/" TargetMode="External"/><Relationship Id="rId2159" Type="http://schemas.openxmlformats.org/officeDocument/2006/relationships/hyperlink" Target="https://youtu.be/Y07VzxE7DM0" TargetMode="External"/><Relationship Id="rId2366" Type="http://schemas.openxmlformats.org/officeDocument/2006/relationships/hyperlink" Target="http://www.diariodeuntranseunte.es/" TargetMode="External"/><Relationship Id="rId2573" Type="http://schemas.openxmlformats.org/officeDocument/2006/relationships/hyperlink" Target="http://manuelmanzanera.blogspot.com.es/" TargetMode="External"/><Relationship Id="rId2780" Type="http://schemas.openxmlformats.org/officeDocument/2006/relationships/hyperlink" Target="https://www.diaribalear.es/" TargetMode="External"/><Relationship Id="rId100" Type="http://schemas.openxmlformats.org/officeDocument/2006/relationships/hyperlink" Target="http://www.centrodemocratico.com/" TargetMode="External"/><Relationship Id="rId338" Type="http://schemas.openxmlformats.org/officeDocument/2006/relationships/hyperlink" Target="http://meteko.blogspot.com/" TargetMode="External"/><Relationship Id="rId545" Type="http://schemas.openxmlformats.org/officeDocument/2006/relationships/hyperlink" Target="https://iberomagazine.com/2018/10/22/va-la-extrema-derecha-ganado-terreno/" TargetMode="External"/><Relationship Id="rId752" Type="http://schemas.openxmlformats.org/officeDocument/2006/relationships/hyperlink" Target="http://pic.twitter.com/hNGxlsIz8P" TargetMode="External"/><Relationship Id="rId1175" Type="http://schemas.openxmlformats.org/officeDocument/2006/relationships/hyperlink" Target="https://www.elconfidencial.com/cultura/2018-12-06/cronica-urgente-espana-museo-cera-cabeza-rivera-broma_1678174/" TargetMode="External"/><Relationship Id="rId1382" Type="http://schemas.openxmlformats.org/officeDocument/2006/relationships/hyperlink" Target="http://voyager.jpl.nasa.gov/" TargetMode="External"/><Relationship Id="rId2019" Type="http://schemas.openxmlformats.org/officeDocument/2006/relationships/hyperlink" Target="https://pbs.twimg.com/media/DtqC0u1XcAEewKh.jpg" TargetMode="External"/><Relationship Id="rId2226" Type="http://schemas.openxmlformats.org/officeDocument/2006/relationships/hyperlink" Target="https://pbs.twimg.com/media/DtpNJZuX4AArhce.jpg" TargetMode="External"/><Relationship Id="rId2433" Type="http://schemas.openxmlformats.org/officeDocument/2006/relationships/hyperlink" Target="https://pbs.twimg.com/media/Dtmgm_RXgAUvLpI.jpg" TargetMode="External"/><Relationship Id="rId2640" Type="http://schemas.openxmlformats.org/officeDocument/2006/relationships/hyperlink" Target="http://www.elnacional.cat/es/" TargetMode="External"/><Relationship Id="rId405" Type="http://schemas.openxmlformats.org/officeDocument/2006/relationships/hyperlink" Target="https://www.google.es/amp/amp.rtve.es/noticias/20181205/ciudadanos-llega-acuerdo-independentistas-para-renovar-cupula-tv3-catalunya-radio/1849149.shtml" TargetMode="External"/><Relationship Id="rId612" Type="http://schemas.openxmlformats.org/officeDocument/2006/relationships/hyperlink" Target="https://www.elplural.com/politica/lo-nunca-contado-de-la-intima-amistad-entre-albert-rivera-y-santiago-abascal_207666102" TargetMode="External"/><Relationship Id="rId1035" Type="http://schemas.openxmlformats.org/officeDocument/2006/relationships/hyperlink" Target="http://www.cope.es/" TargetMode="External"/><Relationship Id="rId1242" Type="http://schemas.openxmlformats.org/officeDocument/2006/relationships/hyperlink" Target="http://www.bitmomentum.com/" TargetMode="External"/><Relationship Id="rId1687" Type="http://schemas.openxmlformats.org/officeDocument/2006/relationships/hyperlink" Target="https://pbs.twimg.com/media/DtrDvFkVsAAC0io.jpg" TargetMode="External"/><Relationship Id="rId1894" Type="http://schemas.openxmlformats.org/officeDocument/2006/relationships/hyperlink" Target="http://www.ciudadanos-cs.org/" TargetMode="External"/><Relationship Id="rId2500" Type="http://schemas.openxmlformats.org/officeDocument/2006/relationships/hyperlink" Target="https://pbs.twimg.com/media/Dtl_MAEW4AA1l2u.jpg" TargetMode="External"/><Relationship Id="rId2738" Type="http://schemas.openxmlformats.org/officeDocument/2006/relationships/hyperlink" Target="http://www.laverdad.es/" TargetMode="External"/><Relationship Id="rId917" Type="http://schemas.openxmlformats.org/officeDocument/2006/relationships/hyperlink" Target="http://elblogdejavierlopez.com/" TargetMode="External"/><Relationship Id="rId1102" Type="http://schemas.openxmlformats.org/officeDocument/2006/relationships/hyperlink" Target="https://pbs.twimg.com/media/DtudAkUWsAIJ2Jl.jpg" TargetMode="External"/><Relationship Id="rId1547" Type="http://schemas.openxmlformats.org/officeDocument/2006/relationships/hyperlink" Target="http://pic.twitter.com/llrRyuaJlr" TargetMode="External"/><Relationship Id="rId1754" Type="http://schemas.openxmlformats.org/officeDocument/2006/relationships/hyperlink" Target="http://www.geo.ya.com/xose36/" TargetMode="External"/><Relationship Id="rId1961" Type="http://schemas.openxmlformats.org/officeDocument/2006/relationships/hyperlink" Target="https://www.20minutos.es/noticia/3509445/0/albert-rivera-pactos-andalucia-vox-sanchez/" TargetMode="External"/><Relationship Id="rId46" Type="http://schemas.openxmlformats.org/officeDocument/2006/relationships/hyperlink" Target="https://twitter.com/grancocolio/status/1071399869171023874" TargetMode="External"/><Relationship Id="rId1407" Type="http://schemas.openxmlformats.org/officeDocument/2006/relationships/hyperlink" Target="https://www.elmundo.es/espana/2018/12/05/5c07d10afc6c83de3f8b475c.html" TargetMode="External"/><Relationship Id="rId1614" Type="http://schemas.openxmlformats.org/officeDocument/2006/relationships/hyperlink" Target="http://bit.ly/2ASk53V" TargetMode="External"/><Relationship Id="rId1821" Type="http://schemas.openxmlformats.org/officeDocument/2006/relationships/hyperlink" Target="http://www.telemadrid.es/" TargetMode="External"/><Relationship Id="rId195" Type="http://schemas.openxmlformats.org/officeDocument/2006/relationships/hyperlink" Target="http://www.facebook.com/fernando.jimenez.12720" TargetMode="External"/><Relationship Id="rId1919" Type="http://schemas.openxmlformats.org/officeDocument/2006/relationships/hyperlink" Target="http://www.thegotomarketcompany.com/" TargetMode="External"/><Relationship Id="rId2083" Type="http://schemas.openxmlformats.org/officeDocument/2006/relationships/hyperlink" Target="http://www.telemadrid.es/120minutos" TargetMode="External"/><Relationship Id="rId2290" Type="http://schemas.openxmlformats.org/officeDocument/2006/relationships/hyperlink" Target="http://www.carmenprados.com/" TargetMode="External"/><Relationship Id="rId2388" Type="http://schemas.openxmlformats.org/officeDocument/2006/relationships/hyperlink" Target="http://www.lextres.com/" TargetMode="External"/><Relationship Id="rId2595" Type="http://schemas.openxmlformats.org/officeDocument/2006/relationships/hyperlink" Target="https://twitter.com/aybarrapacheco/status/1069864197675200512" TargetMode="External"/><Relationship Id="rId262" Type="http://schemas.openxmlformats.org/officeDocument/2006/relationships/hyperlink" Target="http://www.nimgenetics.com/" TargetMode="External"/><Relationship Id="rId567" Type="http://schemas.openxmlformats.org/officeDocument/2006/relationships/hyperlink" Target="http://es.facebook.com/leiragarcia" TargetMode="External"/><Relationship Id="rId1197" Type="http://schemas.openxmlformats.org/officeDocument/2006/relationships/hyperlink" Target="http://agendapublica.elpais.com/nuevo-papel-del-impuesto-al-patrimonio-macron-vs-piketty/" TargetMode="External"/><Relationship Id="rId2150" Type="http://schemas.openxmlformats.org/officeDocument/2006/relationships/hyperlink" Target="https://elpais.com/politica/2018/12/05/actualidad/1543998700_343655.html?id_externo_rsoc=TW_CC" TargetMode="External"/><Relationship Id="rId2248" Type="http://schemas.openxmlformats.org/officeDocument/2006/relationships/hyperlink" Target="https://www.diariocordoba.com/noticias/opinion/vienen-fascistas_1268321.html" TargetMode="External"/><Relationship Id="rId122" Type="http://schemas.openxmlformats.org/officeDocument/2006/relationships/hyperlink" Target="https://www.instagram.com/boroscq" TargetMode="External"/><Relationship Id="rId774" Type="http://schemas.openxmlformats.org/officeDocument/2006/relationships/hyperlink" Target="https://twitter.com/arturelpayaso2/status/1070703901127651329" TargetMode="External"/><Relationship Id="rId981" Type="http://schemas.openxmlformats.org/officeDocument/2006/relationships/hyperlink" Target="https://www.elconfidencial.com/cultura/2018-12-06/cronica-urgente-espana-museo-cera-cabeza-rivera-broma_1678174/?utm_source=twitter&amp;utm_medium=social&amp;utm_campaign=BotoneraWeb" TargetMode="External"/><Relationship Id="rId1057" Type="http://schemas.openxmlformats.org/officeDocument/2006/relationships/hyperlink" Target="https://elpais.com/politica/2018/11/28/actualidad/1543422865_729627.html" TargetMode="External"/><Relationship Id="rId2010" Type="http://schemas.openxmlformats.org/officeDocument/2006/relationships/hyperlink" Target="https://okdiario.com/espana/2018/12/05/iglesias-plantea-ciudadanos-que-ponga-encima-mesa-acuerdo-andalucia-3430367/amp" TargetMode="External"/><Relationship Id="rId2455" Type="http://schemas.openxmlformats.org/officeDocument/2006/relationships/hyperlink" Target="http://pic.twitter.com/qKo9SwmJUT" TargetMode="External"/><Relationship Id="rId2662" Type="http://schemas.openxmlformats.org/officeDocument/2006/relationships/hyperlink" Target="http://pic.twitter.com/vYTLza3Orh" TargetMode="External"/><Relationship Id="rId427" Type="http://schemas.openxmlformats.org/officeDocument/2006/relationships/hyperlink" Target="http://oficios2011.blogspot.com.ar/" TargetMode="External"/><Relationship Id="rId634" Type="http://schemas.openxmlformats.org/officeDocument/2006/relationships/hyperlink" Target="https://blogs.elconfidencial.com/espana/matacan/2018-12-06/aniversario-constitucion-espana-envidiada-ignorada_1689718/?utm_campaign=BotoneraWebapp&amp;utm_source=twitter&amp;utm_medium=social" TargetMode="External"/><Relationship Id="rId841" Type="http://schemas.openxmlformats.org/officeDocument/2006/relationships/hyperlink" Target="https://www.rac1.cat/programes/versio/20181205/453379612086/ernesto-ekaizer-jo-no-confiaria-en-els-principis-de-rivera-perque-no-crec-que-els-tingui.html?utm_campaign=botones_sociales&amp;utm_source=whatsapp&amp;utm_medium=social&amp;utm_campaign=botones_sociales&amp;utm_source=twitter&amp;utm_medium=social" TargetMode="External"/><Relationship Id="rId1264" Type="http://schemas.openxmlformats.org/officeDocument/2006/relationships/hyperlink" Target="https://www.elplural.com/politica/vox-exige-a-pp-y-cs-que-andalucia-deje-de-ser-una-realidad-nacional_207636102" TargetMode="External"/><Relationship Id="rId1471" Type="http://schemas.openxmlformats.org/officeDocument/2006/relationships/hyperlink" Target="http://www.infoheaders.com/" TargetMode="External"/><Relationship Id="rId1569" Type="http://schemas.openxmlformats.org/officeDocument/2006/relationships/hyperlink" Target="http://instagram.com/hescritor" TargetMode="External"/><Relationship Id="rId2108" Type="http://schemas.openxmlformats.org/officeDocument/2006/relationships/hyperlink" Target="https://instagram.com/susanadiazandalucia?utm_source=ig_profile_share&amp;igshid=1czr2tr49fn7k" TargetMode="External"/><Relationship Id="rId2315" Type="http://schemas.openxmlformats.org/officeDocument/2006/relationships/hyperlink" Target="https://pbs.twimg.com/media/DtovaYbW4AA1A2b.jpg" TargetMode="External"/><Relationship Id="rId2522" Type="http://schemas.openxmlformats.org/officeDocument/2006/relationships/hyperlink" Target="https://vimeo.com/213242934" TargetMode="External"/><Relationship Id="rId701" Type="http://schemas.openxmlformats.org/officeDocument/2006/relationships/hyperlink" Target="https://www.larazon.es/espana/cuidar-nuestra-constitucion-por-albert-rivera-BP20854162" TargetMode="External"/><Relationship Id="rId939" Type="http://schemas.openxmlformats.org/officeDocument/2006/relationships/hyperlink" Target="https://www.lasexta.com/noticias/nacional/albert-rivera-pide-superar-guerracivilismo-llama-unirse-ciudadanos-psoe-afrontar-reorma-constitucional_201812065c091a4d0cf26a2d5573bc92.html" TargetMode="External"/><Relationship Id="rId1124" Type="http://schemas.openxmlformats.org/officeDocument/2006/relationships/hyperlink" Target="https://www.elsaltodiario.com/medios/medios-andaluces-piden-a-sus-periodistas-que-no-llamen-ultraderecha-a-vox" TargetMode="External"/><Relationship Id="rId1331" Type="http://schemas.openxmlformats.org/officeDocument/2006/relationships/hyperlink" Target="http://noticiasvenezuela.org/" TargetMode="External"/><Relationship Id="rId1776" Type="http://schemas.openxmlformats.org/officeDocument/2006/relationships/hyperlink" Target="https://pbs.twimg.com/media/DtqwCIvWkAIDitk.jpg" TargetMode="External"/><Relationship Id="rId1983" Type="http://schemas.openxmlformats.org/officeDocument/2006/relationships/hyperlink" Target="https://johnmuller.wordpress.com/author/cultrun/" TargetMode="External"/><Relationship Id="rId68" Type="http://schemas.openxmlformats.org/officeDocument/2006/relationships/hyperlink" Target="https://twitter.com/eclementen/status/1071025693490847744" TargetMode="External"/><Relationship Id="rId1429" Type="http://schemas.openxmlformats.org/officeDocument/2006/relationships/hyperlink" Target="http://pic.twitter.com/uJL5xvP95o" TargetMode="External"/><Relationship Id="rId1636" Type="http://schemas.openxmlformats.org/officeDocument/2006/relationships/hyperlink" Target="http://ciudadanos-cs.org/" TargetMode="External"/><Relationship Id="rId1843" Type="http://schemas.openxmlformats.org/officeDocument/2006/relationships/hyperlink" Target="https://twitter.com/albert_rivera/status/1070277976313524224" TargetMode="External"/><Relationship Id="rId1703" Type="http://schemas.openxmlformats.org/officeDocument/2006/relationships/hyperlink" Target="https://pbs.twimg.com/media/DtrAMhtXcAAHF5E.jpg" TargetMode="External"/><Relationship Id="rId1910" Type="http://schemas.openxmlformats.org/officeDocument/2006/relationships/hyperlink" Target="http://nuet.cat/" TargetMode="External"/><Relationship Id="rId284" Type="http://schemas.openxmlformats.org/officeDocument/2006/relationships/hyperlink" Target="https://www.elplural.com/politica/lo-nunca-contado-de-la-intima-amistad-entre-albert-rivera-y-santiago-abascal_207666102" TargetMode="External"/><Relationship Id="rId491" Type="http://schemas.openxmlformats.org/officeDocument/2006/relationships/hyperlink" Target="http://youtu.be/Ki-nKw0krwY?a" TargetMode="External"/><Relationship Id="rId2172" Type="http://schemas.openxmlformats.org/officeDocument/2006/relationships/hyperlink" Target="http://www.eldiario.es/autores/juan_miguel_baquero/" TargetMode="External"/><Relationship Id="rId144" Type="http://schemas.openxmlformats.org/officeDocument/2006/relationships/hyperlink" Target="https://www.libertaddigital.com/espana/2018-12-08/albert-boadella-alerta-sobre-cataluna-o-se-interviene-varios-anos-o-nos-comemos-la-independencia-1276629565/" TargetMode="External"/><Relationship Id="rId589" Type="http://schemas.openxmlformats.org/officeDocument/2006/relationships/hyperlink" Target="https://pbs.twimg.com/media/Dtv7qsaWoAATPfh.jpg" TargetMode="External"/><Relationship Id="rId796" Type="http://schemas.openxmlformats.org/officeDocument/2006/relationships/hyperlink" Target="https://goo.gl/5JB5ua" TargetMode="External"/><Relationship Id="rId2477" Type="http://schemas.openxmlformats.org/officeDocument/2006/relationships/hyperlink" Target="https://twitter.com/Albert_Rivera/status/1069709488574337025" TargetMode="External"/><Relationship Id="rId2684" Type="http://schemas.openxmlformats.org/officeDocument/2006/relationships/hyperlink" Target="https://pbs.twimg.com/media/DtkPVc9W0AAGVz6.jpg" TargetMode="External"/><Relationship Id="rId351" Type="http://schemas.openxmlformats.org/officeDocument/2006/relationships/hyperlink" Target="http://www.citizengo.org/hazteoir/pc/167099-al-psoe-ni-agua-sr-rivera?tc=tw&amp;tcid=52570897" TargetMode="External"/><Relationship Id="rId449" Type="http://schemas.openxmlformats.org/officeDocument/2006/relationships/hyperlink" Target="http://www.citizengo.org/hazteoir/pc/167099-al-psoe-ni-agua-sr-rivera?tc=tw&amp;tcid=52566217" TargetMode="External"/><Relationship Id="rId656" Type="http://schemas.openxmlformats.org/officeDocument/2006/relationships/hyperlink" Target="https://www.ciudadanos-cs.org/" TargetMode="External"/><Relationship Id="rId863" Type="http://schemas.openxmlformats.org/officeDocument/2006/relationships/hyperlink" Target="http://www.europapress.es/" TargetMode="External"/><Relationship Id="rId1079" Type="http://schemas.openxmlformats.org/officeDocument/2006/relationships/hyperlink" Target="http://plumaroja-plumaroja.blogspot.com/" TargetMode="External"/><Relationship Id="rId1286" Type="http://schemas.openxmlformats.org/officeDocument/2006/relationships/hyperlink" Target="http://www.bitmomentum.com/" TargetMode="External"/><Relationship Id="rId1493" Type="http://schemas.openxmlformats.org/officeDocument/2006/relationships/hyperlink" Target="http://ciudadanos-cs.org/" TargetMode="External"/><Relationship Id="rId2032" Type="http://schemas.openxmlformats.org/officeDocument/2006/relationships/hyperlink" Target="https://www.elmundo.es/espana/2018/12/05/5c07d10afc6c83de3f8b475c.html" TargetMode="External"/><Relationship Id="rId2337" Type="http://schemas.openxmlformats.org/officeDocument/2006/relationships/hyperlink" Target="http://www.elnacional.cat/es/" TargetMode="External"/><Relationship Id="rId2544" Type="http://schemas.openxmlformats.org/officeDocument/2006/relationships/hyperlink" Target="https://pbs.twimg.com/media/Dtj7LT9WkAAg8_z.jpg" TargetMode="External"/><Relationship Id="rId211" Type="http://schemas.openxmlformats.org/officeDocument/2006/relationships/hyperlink" Target="http://mediterraneo.diario16.com/la-mala-leche-albert-rivera-sanchismo/" TargetMode="External"/><Relationship Id="rId309" Type="http://schemas.openxmlformats.org/officeDocument/2006/relationships/hyperlink" Target="http://pic.twitter.com/ulOeSVB1Ce" TargetMode="External"/><Relationship Id="rId516" Type="http://schemas.openxmlformats.org/officeDocument/2006/relationships/hyperlink" Target="https://pbs.twimg.com/media/DtzPqqiWoAAAGMR.jpg" TargetMode="External"/><Relationship Id="rId1146" Type="http://schemas.openxmlformats.org/officeDocument/2006/relationships/hyperlink" Target="https://www.instagram.com/boroscq" TargetMode="External"/><Relationship Id="rId1798" Type="http://schemas.openxmlformats.org/officeDocument/2006/relationships/hyperlink" Target="https://pbs.twimg.com/media/DtqpRbGWoAAO-LR.jpg" TargetMode="External"/><Relationship Id="rId2751" Type="http://schemas.openxmlformats.org/officeDocument/2006/relationships/hyperlink" Target="https://pbs.twimg.com/media/Dtjujh-XcAE0rci.jpg" TargetMode="External"/><Relationship Id="rId723" Type="http://schemas.openxmlformats.org/officeDocument/2006/relationships/hyperlink" Target="http://pic.twitter.com/h5MUBsKEf4" TargetMode="External"/><Relationship Id="rId930" Type="http://schemas.openxmlformats.org/officeDocument/2006/relationships/hyperlink" Target="https://pbs.twimg.com/media/DtvEJ2bXgAAXhq3.jpg" TargetMode="External"/><Relationship Id="rId1006" Type="http://schemas.openxmlformats.org/officeDocument/2006/relationships/hyperlink" Target="https://pbs.twimg.com/media/DtuySNbXgAAEOmZ.jpg" TargetMode="External"/><Relationship Id="rId1353" Type="http://schemas.openxmlformats.org/officeDocument/2006/relationships/hyperlink" Target="https://twitter.com/CiudadanosCs/status/1070307427344703489" TargetMode="External"/><Relationship Id="rId1560" Type="http://schemas.openxmlformats.org/officeDocument/2006/relationships/hyperlink" Target="https://pbs.twimg.com/media/DtrZfZ5WsAAlqgP.jpg" TargetMode="External"/><Relationship Id="rId1658" Type="http://schemas.openxmlformats.org/officeDocument/2006/relationships/hyperlink" Target="http://pic.twitter.com/3s3ang29wj" TargetMode="External"/><Relationship Id="rId1865" Type="http://schemas.openxmlformats.org/officeDocument/2006/relationships/hyperlink" Target="https://medium.com/@JorgeSMiguel" TargetMode="External"/><Relationship Id="rId2404" Type="http://schemas.openxmlformats.org/officeDocument/2006/relationships/hyperlink" Target="https://www.elconfidencial.com/espana/2018-12-04/directo-pedro-sanchez-entrevista_1686582/?utm_source=twitter&amp;utm_medium=social&amp;utm_campaign=NacionalDiarioAutomatico" TargetMode="External"/><Relationship Id="rId2611" Type="http://schemas.openxmlformats.org/officeDocument/2006/relationships/hyperlink" Target="http://instagram.com/anitaricoruiz25" TargetMode="External"/><Relationship Id="rId2709" Type="http://schemas.openxmlformats.org/officeDocument/2006/relationships/hyperlink" Target="http://joseisasa.com/" TargetMode="External"/><Relationship Id="rId1213" Type="http://schemas.openxmlformats.org/officeDocument/2006/relationships/hyperlink" Target="https://es.wikipedia.org/wiki/Sienra" TargetMode="External"/><Relationship Id="rId1420" Type="http://schemas.openxmlformats.org/officeDocument/2006/relationships/hyperlink" Target="https://www.redaccionmedica.com/secciones/parlamentarios/carcedo-al-congreso-por-transferir-la-homologacion-de-medicos-extranjeros-6093" TargetMode="External"/><Relationship Id="rId1518" Type="http://schemas.openxmlformats.org/officeDocument/2006/relationships/hyperlink" Target="https://www.elmundo.es/espana/2018/12/05/5c07d10afc6c83de3f8b475c.html" TargetMode="External"/><Relationship Id="rId1725" Type="http://schemas.openxmlformats.org/officeDocument/2006/relationships/hyperlink" Target="https://www.finanzasparamortales.es/" TargetMode="External"/><Relationship Id="rId1932" Type="http://schemas.openxmlformats.org/officeDocument/2006/relationships/hyperlink" Target="http://www.ramblalibre.com/" TargetMode="External"/><Relationship Id="rId17"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2194" Type="http://schemas.openxmlformats.org/officeDocument/2006/relationships/hyperlink" Target="https://pbs.twimg.com/media/DtpU7jLXgAAM44r.jpg" TargetMode="External"/><Relationship Id="rId166" Type="http://schemas.openxmlformats.org/officeDocument/2006/relationships/hyperlink" Target="https://twitter.com/eSPAINews/status/1070702807039336448" TargetMode="External"/><Relationship Id="rId373" Type="http://schemas.openxmlformats.org/officeDocument/2006/relationships/hyperlink" Target="https://pbs.twimg.com/media/Dt0jRbtXQAEuLuA.png" TargetMode="External"/><Relationship Id="rId580" Type="http://schemas.openxmlformats.org/officeDocument/2006/relationships/hyperlink" Target="http://dlvr.it/Qt1YB1" TargetMode="External"/><Relationship Id="rId2054" Type="http://schemas.openxmlformats.org/officeDocument/2006/relationships/hyperlink" Target="http://okdiario.com/" TargetMode="External"/><Relationship Id="rId2261" Type="http://schemas.openxmlformats.org/officeDocument/2006/relationships/hyperlink" Target="https://pbs.twimg.com/media/DtpB3I-WwAA8ZHx.jpg" TargetMode="External"/><Relationship Id="rId2499" Type="http://schemas.openxmlformats.org/officeDocument/2006/relationships/hyperlink" Target="http://directoalmentonjosequijadarubira.blogspot.com.es/" TargetMode="External"/><Relationship Id="rId1" Type="http://schemas.openxmlformats.org/officeDocument/2006/relationships/hyperlink" Target="https://www.facebook.com/pol.vergaragimenez" TargetMode="External"/><Relationship Id="rId233" Type="http://schemas.openxmlformats.org/officeDocument/2006/relationships/hyperlink" Target="http://www.huffingtonpost.es/" TargetMode="External"/><Relationship Id="rId440" Type="http://schemas.openxmlformats.org/officeDocument/2006/relationships/hyperlink" Target="https://twitter.com/alwaysfree86/status/1070299080906211329?s=19" TargetMode="External"/><Relationship Id="rId678" Type="http://schemas.openxmlformats.org/officeDocument/2006/relationships/hyperlink" Target="http://www.partidoequo.es/" TargetMode="External"/><Relationship Id="rId885" Type="http://schemas.openxmlformats.org/officeDocument/2006/relationships/hyperlink" Target="http://pic.twitter.com/x2YQ2k8WrQ" TargetMode="External"/><Relationship Id="rId1070" Type="http://schemas.openxmlformats.org/officeDocument/2006/relationships/hyperlink" Target="https://twitter.com/Albert_Rivera/status/1070619826392064000" TargetMode="External"/><Relationship Id="rId2121" Type="http://schemas.openxmlformats.org/officeDocument/2006/relationships/hyperlink" Target="http://www.lextres.com/" TargetMode="External"/><Relationship Id="rId2359" Type="http://schemas.openxmlformats.org/officeDocument/2006/relationships/hyperlink" Target="https://goo.gl/JzNVUu?kds67=1299685802" TargetMode="External"/><Relationship Id="rId2566" Type="http://schemas.openxmlformats.org/officeDocument/2006/relationships/hyperlink" Target="https://www.diaribalear.es/" TargetMode="External"/><Relationship Id="rId2773" Type="http://schemas.openxmlformats.org/officeDocument/2006/relationships/hyperlink" Target="https://twitter.com/hermanntertsch/status/1069840277572120576" TargetMode="External"/><Relationship Id="rId300" Type="http://schemas.openxmlformats.org/officeDocument/2006/relationships/hyperlink" Target="https://www.huffingtonpost.es/2018/12/07/el-dardo-de-bertin-osborne-a-gabriel-rufian-y-pablo-iglesias-espana-es-el-pais-con-mas-politicos-idiotas-por-metro-cuadrado_a_23611885/" TargetMode="External"/><Relationship Id="rId538" Type="http://schemas.openxmlformats.org/officeDocument/2006/relationships/hyperlink" Target="http://www.lavozdealmeria.com/" TargetMode="External"/><Relationship Id="rId745" Type="http://schemas.openxmlformats.org/officeDocument/2006/relationships/hyperlink" Target="https://www.elboletin.com/noticia/169829/nacional/el-plan-de-casado-para-andalucia:-un-acuerdo-global-con-ciudadanos-antes-del-27d.html" TargetMode="External"/><Relationship Id="rId952" Type="http://schemas.openxmlformats.org/officeDocument/2006/relationships/hyperlink" Target="https://pbs.twimg.com/media/DtvA06YWsAEl5dG.jpg" TargetMode="External"/><Relationship Id="rId1168" Type="http://schemas.openxmlformats.org/officeDocument/2006/relationships/hyperlink" Target="http://pcasevillalocal.org/" TargetMode="External"/><Relationship Id="rId1375" Type="http://schemas.openxmlformats.org/officeDocument/2006/relationships/hyperlink" Target="http://www.citizengo.org/hazteoir/pc/167099-al-psoe-ni-agua-sr-rivera?tc=wp&amp;tcid=52545121" TargetMode="External"/><Relationship Id="rId1582" Type="http://schemas.openxmlformats.org/officeDocument/2006/relationships/hyperlink" Target="https://pbs.twimg.com/media/DtrUwttW4AE6VMx.jpg" TargetMode="External"/><Relationship Id="rId2219" Type="http://schemas.openxmlformats.org/officeDocument/2006/relationships/hyperlink" Target="https://pbs.twimg.com/media/DtpOJMtX4AA-IL_.jpg" TargetMode="External"/><Relationship Id="rId2426" Type="http://schemas.openxmlformats.org/officeDocument/2006/relationships/hyperlink" Target="http://pic.twitter.com/iuTTLc8tp8" TargetMode="External"/><Relationship Id="rId2633" Type="http://schemas.openxmlformats.org/officeDocument/2006/relationships/hyperlink" Target="https://pbs.twimg.com/media/DtkUhvOX4AA7vFj.jpg" TargetMode="External"/><Relationship Id="rId81" Type="http://schemas.openxmlformats.org/officeDocument/2006/relationships/hyperlink" Target="https://blogs.elconfidencial.com/espana/notebook/2018-12-08/vox-albert-rivera-pactos-andalucia-centro-europeista_1692818/" TargetMode="External"/><Relationship Id="rId605" Type="http://schemas.openxmlformats.org/officeDocument/2006/relationships/hyperlink" Target="https://twitter.com/arturelpayaso2/status/1070703901127651329" TargetMode="External"/><Relationship Id="rId812" Type="http://schemas.openxmlformats.org/officeDocument/2006/relationships/hyperlink" Target="http://haztequeer.com/" TargetMode="External"/><Relationship Id="rId1028" Type="http://schemas.openxmlformats.org/officeDocument/2006/relationships/hyperlink" Target="https://okdiario.com/espana/madrid/2018/12/05/cs-pacta-psoe-podemos-librar-sanchez-explicar-tesis-fake-asamblea-madrid-3432942/amp" TargetMode="External"/><Relationship Id="rId1235" Type="http://schemas.openxmlformats.org/officeDocument/2006/relationships/hyperlink" Target="https://elcuarticopoder.blogspot.com/" TargetMode="External"/><Relationship Id="rId1442" Type="http://schemas.openxmlformats.org/officeDocument/2006/relationships/hyperlink" Target="https://twitter.com/Albert_Rivera/status/1070425503234961410" TargetMode="External"/><Relationship Id="rId1887" Type="http://schemas.openxmlformats.org/officeDocument/2006/relationships/hyperlink" Target="http://blogs.formulatv.com/elojoen169/" TargetMode="External"/><Relationship Id="rId1302" Type="http://schemas.openxmlformats.org/officeDocument/2006/relationships/hyperlink" Target="https://www.eldiario.es/arsenioescolar/articulos-Constitucion-incumplen-nadie-alarme_6_715038520.html" TargetMode="External"/><Relationship Id="rId1747" Type="http://schemas.openxmlformats.org/officeDocument/2006/relationships/hyperlink" Target="https://www.elmundo.es/espana/2018/12/05/5c07d10afc6c83de3f8b475c.html" TargetMode="External"/><Relationship Id="rId1954" Type="http://schemas.openxmlformats.org/officeDocument/2006/relationships/hyperlink" Target="http://www.madrid.org/fp" TargetMode="External"/><Relationship Id="rId2700" Type="http://schemas.openxmlformats.org/officeDocument/2006/relationships/hyperlink" Target="https://pbs.twimg.com/media/DtkJ__wW0AA9tsB.jpg" TargetMode="External"/><Relationship Id="rId39" Type="http://schemas.openxmlformats.org/officeDocument/2006/relationships/hyperlink" Target="https://www.elplural.com/politica/lo-nunca-contado-de-la-intima-amistad-entre-albert-rivera-y-santiago-abascal_207666102" TargetMode="External"/><Relationship Id="rId1607" Type="http://schemas.openxmlformats.org/officeDocument/2006/relationships/hyperlink" Target="https://pbs.twimg.com/media/DtrRjN2WkAAp-qM.jpg" TargetMode="External"/><Relationship Id="rId1814" Type="http://schemas.openxmlformats.org/officeDocument/2006/relationships/hyperlink" Target="http://www.martinezabarca.net/" TargetMode="External"/><Relationship Id="rId188" Type="http://schemas.openxmlformats.org/officeDocument/2006/relationships/hyperlink" Target="https://blogs.elconfidencial.com/espana/notebook/2018-12-08/vox-albert-rivera-pactos-andalucia-centro-europeista_1692818/" TargetMode="External"/><Relationship Id="rId395" Type="http://schemas.openxmlformats.org/officeDocument/2006/relationships/hyperlink" Target="http://eldiario.es/" TargetMode="External"/><Relationship Id="rId2076" Type="http://schemas.openxmlformats.org/officeDocument/2006/relationships/hyperlink" Target="http://dlvr.it/QstNYt" TargetMode="External"/><Relationship Id="rId2283" Type="http://schemas.openxmlformats.org/officeDocument/2006/relationships/hyperlink" Target="http://elpais.com/autor/jose_marcos/a" TargetMode="External"/><Relationship Id="rId2490" Type="http://schemas.openxmlformats.org/officeDocument/2006/relationships/hyperlink" Target="https://www.ciudadanos-cs.org/prensa/albert-rivera-presentaremos-nuestra-candidatura-a-la-presidencia-vamos-a-gobernar-y-a-echar-al-psoe-de-la-junta/11139" TargetMode="External"/><Relationship Id="rId2588" Type="http://schemas.openxmlformats.org/officeDocument/2006/relationships/hyperlink" Target="http://pic.twitter.com/dXBkhHdlEx" TargetMode="External"/><Relationship Id="rId255" Type="http://schemas.openxmlformats.org/officeDocument/2006/relationships/hyperlink" Target="https://loquenotequierencontar.com/2017/12/06/albert-rivera-se-compra-un-chalet-valorado-en-mas-de-1-millon-de-euros-al-tiempo-que-ciudadanos-bloquea-una-subida-del-salario-minimo-a-800e/" TargetMode="External"/><Relationship Id="rId462" Type="http://schemas.openxmlformats.org/officeDocument/2006/relationships/hyperlink" Target="http://page.is/eduardo-mackenzie" TargetMode="External"/><Relationship Id="rId1092" Type="http://schemas.openxmlformats.org/officeDocument/2006/relationships/hyperlink" Target="http://www.noticiascmm.es/" TargetMode="External"/><Relationship Id="rId1397" Type="http://schemas.openxmlformats.org/officeDocument/2006/relationships/hyperlink" Target="https://elpais.com/sociedad/2018/12/04/actualidad/1543956295_803332.html?id_externo_rsoc=TW_CC" TargetMode="External"/><Relationship Id="rId2143" Type="http://schemas.openxmlformats.org/officeDocument/2006/relationships/hyperlink" Target="http://a.msn.com/01/es-es/BBQtLvD?ocid=sf" TargetMode="External"/><Relationship Id="rId2350" Type="http://schemas.openxmlformats.org/officeDocument/2006/relationships/hyperlink" Target="http://www.ramblalibre.com/" TargetMode="External"/><Relationship Id="rId115" Type="http://schemas.openxmlformats.org/officeDocument/2006/relationships/hyperlink" Target="https://pbs.twimg.com/media/Dt4JZQqXgAEXLkc.jpg" TargetMode="External"/><Relationship Id="rId322" Type="http://schemas.openxmlformats.org/officeDocument/2006/relationships/hyperlink" Target="http://www.juliodelatorre.es/" TargetMode="External"/><Relationship Id="rId767" Type="http://schemas.openxmlformats.org/officeDocument/2006/relationships/hyperlink" Target="http://castillalamancha.ciudadanos-cs.org/" TargetMode="External"/><Relationship Id="rId974" Type="http://schemas.openxmlformats.org/officeDocument/2006/relationships/hyperlink" Target="http://www.ciudadanos-cs.org/" TargetMode="External"/><Relationship Id="rId2003" Type="http://schemas.openxmlformats.org/officeDocument/2006/relationships/hyperlink" Target="http://www.lahoradigital.com/" TargetMode="External"/><Relationship Id="rId2210" Type="http://schemas.openxmlformats.org/officeDocument/2006/relationships/hyperlink" Target="https://www.ciudadanos-cs.org/" TargetMode="External"/><Relationship Id="rId2448" Type="http://schemas.openxmlformats.org/officeDocument/2006/relationships/hyperlink" Target="https://pbs.twimg.com/media/DtmYLnQWkAYL3AA.jpg" TargetMode="External"/><Relationship Id="rId2655" Type="http://schemas.openxmlformats.org/officeDocument/2006/relationships/hyperlink" Target="https://blogmiyares.blogspot.com/2018/12/albert-rivera-sacude-como-nunca-pedro.html?spref=tw" TargetMode="External"/><Relationship Id="rId627" Type="http://schemas.openxmlformats.org/officeDocument/2006/relationships/hyperlink" Target="https://twitter.com/numer344/status/1070646509539086336" TargetMode="External"/><Relationship Id="rId834" Type="http://schemas.openxmlformats.org/officeDocument/2006/relationships/hyperlink" Target="http://www.ciudadanos-cs.org/" TargetMode="External"/><Relationship Id="rId1257" Type="http://schemas.openxmlformats.org/officeDocument/2006/relationships/hyperlink" Target="http://www.lextres.com/" TargetMode="External"/><Relationship Id="rId1464" Type="http://schemas.openxmlformats.org/officeDocument/2006/relationships/hyperlink" Target="http://pic.twitter.com/hlK1wFUrt4" TargetMode="External"/><Relationship Id="rId1671" Type="http://schemas.openxmlformats.org/officeDocument/2006/relationships/hyperlink" Target="http://www.trainyourtalent.net/" TargetMode="External"/><Relationship Id="rId2308" Type="http://schemas.openxmlformats.org/officeDocument/2006/relationships/hyperlink" Target="https://pbs.twimg.com/media/DthVgquWoAEAsAd.jpg" TargetMode="External"/><Relationship Id="rId2515" Type="http://schemas.openxmlformats.org/officeDocument/2006/relationships/hyperlink" Target="https://www.gacetaglobal.com/noticia/ciudadanos-sigue-manteniendo-que-debe-gobernar-el-partido-mas-votado" TargetMode="External"/><Relationship Id="rId2722" Type="http://schemas.openxmlformats.org/officeDocument/2006/relationships/hyperlink" Target="https://www.elnacional.cat/enblau/es/television/pablo-casado-albert-rivera-esta-passant-marc-giro-vestidos-iguales_331281_102.html" TargetMode="External"/><Relationship Id="rId901" Type="http://schemas.openxmlformats.org/officeDocument/2006/relationships/hyperlink" Target="https://twitter.com/Viczuri/status/1070412527220219904" TargetMode="External"/><Relationship Id="rId1117" Type="http://schemas.openxmlformats.org/officeDocument/2006/relationships/hyperlink" Target="https://m.eldiario.es/autores/inigo_aduriz/" TargetMode="External"/><Relationship Id="rId1324" Type="http://schemas.openxmlformats.org/officeDocument/2006/relationships/hyperlink" Target="https://pbs.twimg.com/media/DtsJawAXQAUxODX.jpg" TargetMode="External"/><Relationship Id="rId1531" Type="http://schemas.openxmlformats.org/officeDocument/2006/relationships/hyperlink" Target="http://www.instagram.com/dani_lovsky" TargetMode="External"/><Relationship Id="rId1769" Type="http://schemas.openxmlformats.org/officeDocument/2006/relationships/hyperlink" Target="https://youtu.be/wFA6tZ4silk" TargetMode="External"/><Relationship Id="rId1976" Type="http://schemas.openxmlformats.org/officeDocument/2006/relationships/hyperlink" Target="https://pbs.twimg.com/media/DtqNM4rWwAEtaJ1.jpg" TargetMode="External"/><Relationship Id="rId30" Type="http://schemas.openxmlformats.org/officeDocument/2006/relationships/hyperlink" Target="https://twitter.com/guarge/status/1071415889168359424" TargetMode="External"/><Relationship Id="rId1629" Type="http://schemas.openxmlformats.org/officeDocument/2006/relationships/hyperlink" Target="https://pbs.twimg.com/media/DtrOiKGWsAAKu9W.jpg" TargetMode="External"/><Relationship Id="rId1836" Type="http://schemas.openxmlformats.org/officeDocument/2006/relationships/hyperlink" Target="http://lrzn.es/gt8bv1" TargetMode="External"/><Relationship Id="rId1903" Type="http://schemas.openxmlformats.org/officeDocument/2006/relationships/hyperlink" Target="https://twitter.com/cervantesfaqs/status/1069678486321811461" TargetMode="External"/><Relationship Id="rId2098" Type="http://schemas.openxmlformats.org/officeDocument/2006/relationships/hyperlink" Target="https://pbs.twimg.com/media/DtpzrQJW4AE1b2g.jpg" TargetMode="External"/><Relationship Id="rId277" Type="http://schemas.openxmlformats.org/officeDocument/2006/relationships/hyperlink" Target="http://pic.twitter.com/IrI9Ye8pST" TargetMode="External"/><Relationship Id="rId484" Type="http://schemas.openxmlformats.org/officeDocument/2006/relationships/hyperlink" Target="https://www.facebook.com/story.php?story_fbid=2300284616871047&amp;id=100006685931715" TargetMode="External"/><Relationship Id="rId2165" Type="http://schemas.openxmlformats.org/officeDocument/2006/relationships/hyperlink" Target="https://pbs.twimg.com/media/Dtpf5fZXcAAAXnp.jpg" TargetMode="External"/><Relationship Id="rId137" Type="http://schemas.openxmlformats.org/officeDocument/2006/relationships/hyperlink" Target="http://www.huffingtonpost.es/" TargetMode="External"/><Relationship Id="rId344" Type="http://schemas.openxmlformats.org/officeDocument/2006/relationships/hyperlink" Target="http://shr.gs/SRuADHm" TargetMode="External"/><Relationship Id="rId691" Type="http://schemas.openxmlformats.org/officeDocument/2006/relationships/hyperlink" Target="http://www.ciudadanos-cs.org/" TargetMode="External"/><Relationship Id="rId789" Type="http://schemas.openxmlformats.org/officeDocument/2006/relationships/hyperlink" Target="http://pic.twitter.com/iI5y6UxSuX" TargetMode="External"/><Relationship Id="rId996" Type="http://schemas.openxmlformats.org/officeDocument/2006/relationships/hyperlink" Target="http://bit.ly/2QF3g6h" TargetMode="External"/><Relationship Id="rId2025" Type="http://schemas.openxmlformats.org/officeDocument/2006/relationships/hyperlink" Target="https://pbs.twimg.com/media/Dtp_-soWoAAuQcx.jpg" TargetMode="External"/><Relationship Id="rId2372" Type="http://schemas.openxmlformats.org/officeDocument/2006/relationships/hyperlink" Target="https://pbs.twimg.com/media/DtnGq2CXgAAUg5Q.jpg" TargetMode="External"/><Relationship Id="rId2677" Type="http://schemas.openxmlformats.org/officeDocument/2006/relationships/hyperlink" Target="https://pbs.twimg.com/media/DtkUq5aX4AEaskX.jpg" TargetMode="External"/><Relationship Id="rId551" Type="http://schemas.openxmlformats.org/officeDocument/2006/relationships/hyperlink" Target="https://bit.ly/2QC9Ev8" TargetMode="External"/><Relationship Id="rId649" Type="http://schemas.openxmlformats.org/officeDocument/2006/relationships/hyperlink" Target="https://www.elplural.com/politica/lo-nunca-contado-de-la-intima-amistad-entre-albert-rivera-y-santiago-abascal_207666102" TargetMode="External"/><Relationship Id="rId856" Type="http://schemas.openxmlformats.org/officeDocument/2006/relationships/hyperlink" Target="http://www.bitmomentum.com/" TargetMode="External"/><Relationship Id="rId1181" Type="http://schemas.openxmlformats.org/officeDocument/2006/relationships/hyperlink" Target="http://dlvr.it/QsyDqD" TargetMode="External"/><Relationship Id="rId1279" Type="http://schemas.openxmlformats.org/officeDocument/2006/relationships/hyperlink" Target="http://pic.twitter.com/Uhnb5aYgBQ" TargetMode="External"/><Relationship Id="rId1486" Type="http://schemas.openxmlformats.org/officeDocument/2006/relationships/hyperlink" Target="https://twitter.com/archillect/status/1070399921180807169" TargetMode="External"/><Relationship Id="rId2232" Type="http://schemas.openxmlformats.org/officeDocument/2006/relationships/hyperlink" Target="http://www.abc.es/autor/fj-calero-1308/" TargetMode="External"/><Relationship Id="rId2537" Type="http://schemas.openxmlformats.org/officeDocument/2006/relationships/hyperlink" Target="https://goo.gl/7eQaCN?gpa52=4867690042" TargetMode="External"/><Relationship Id="rId204" Type="http://schemas.openxmlformats.org/officeDocument/2006/relationships/hyperlink" Target="http://cesarginer.wordpress.com/" TargetMode="External"/><Relationship Id="rId411" Type="http://schemas.openxmlformats.org/officeDocument/2006/relationships/hyperlink" Target="https://www.elplural.com/politica/lo-nunca-contado-de-la-intima-amistad-entre-albert-rivera-y-santiago-abascal_207666102" TargetMode="External"/><Relationship Id="rId509" Type="http://schemas.openxmlformats.org/officeDocument/2006/relationships/hyperlink" Target="http://www.pipasdecoco.com/" TargetMode="External"/><Relationship Id="rId1041" Type="http://schemas.openxmlformats.org/officeDocument/2006/relationships/hyperlink" Target="https://twitter.com/Albert_Rivera/status/1070619826392064000" TargetMode="External"/><Relationship Id="rId1139" Type="http://schemas.openxmlformats.org/officeDocument/2006/relationships/hyperlink" Target="https://twitter.com/reguerasilva1/status/1070411615139520513" TargetMode="External"/><Relationship Id="rId1346" Type="http://schemas.openxmlformats.org/officeDocument/2006/relationships/hyperlink" Target="http://bit.ly/2SxhKCB" TargetMode="External"/><Relationship Id="rId1693" Type="http://schemas.openxmlformats.org/officeDocument/2006/relationships/hyperlink" Target="http://www.lasexta.com/noticias/" TargetMode="External"/><Relationship Id="rId1998" Type="http://schemas.openxmlformats.org/officeDocument/2006/relationships/hyperlink" Target="https://pbs.twimg.com/media/Dtk-MT1WwAE-7hv.jpg" TargetMode="External"/><Relationship Id="rId2744" Type="http://schemas.openxmlformats.org/officeDocument/2006/relationships/hyperlink" Target="https://www.eldiario.es/politica/Albert-Rivera-Verhofstadt-UE-Salvini_0_818918321.html" TargetMode="External"/><Relationship Id="rId716" Type="http://schemas.openxmlformats.org/officeDocument/2006/relationships/hyperlink" Target="https://pbs.twimg.com/media/DtvyoDkW0AAzkQp.jpg" TargetMode="External"/><Relationship Id="rId923" Type="http://schemas.openxmlformats.org/officeDocument/2006/relationships/hyperlink" Target="http://pic.twitter.com/hrPR9Xnryk" TargetMode="External"/><Relationship Id="rId1553" Type="http://schemas.openxmlformats.org/officeDocument/2006/relationships/hyperlink" Target="http://www.ramblalibre.com/" TargetMode="External"/><Relationship Id="rId1760" Type="http://schemas.openxmlformats.org/officeDocument/2006/relationships/hyperlink" Target="http://www.ciudadanos-cs.org/" TargetMode="External"/><Relationship Id="rId1858" Type="http://schemas.openxmlformats.org/officeDocument/2006/relationships/hyperlink" Target="https://pbs.twimg.com/media/DtqlEWLWsAUvrLl.jpg" TargetMode="External"/><Relationship Id="rId2604" Type="http://schemas.openxmlformats.org/officeDocument/2006/relationships/hyperlink" Target="http://inmoavery.com/" TargetMode="External"/><Relationship Id="rId52" Type="http://schemas.openxmlformats.org/officeDocument/2006/relationships/hyperlink" Target="https://pbs.twimg.com/media/Dt5jCGXXgAAZm_1.jpg" TargetMode="External"/><Relationship Id="rId1206" Type="http://schemas.openxmlformats.org/officeDocument/2006/relationships/hyperlink" Target="http://www.bitmomentum.com/" TargetMode="External"/><Relationship Id="rId1413" Type="http://schemas.openxmlformats.org/officeDocument/2006/relationships/hyperlink" Target="http://pic.twitter.com/hNGxlsIz8P" TargetMode="External"/><Relationship Id="rId1620" Type="http://schemas.openxmlformats.org/officeDocument/2006/relationships/hyperlink" Target="http://www.ciudadanos-cs.org/" TargetMode="External"/><Relationship Id="rId1718" Type="http://schemas.openxmlformats.org/officeDocument/2006/relationships/hyperlink" Target="https://pbs.twimg.com/media/DtrAjcVXQAIEfnZ.jpg" TargetMode="External"/><Relationship Id="rId1925" Type="http://schemas.openxmlformats.org/officeDocument/2006/relationships/hyperlink" Target="http://pic.twitter.com/OXldiF17eV" TargetMode="External"/><Relationship Id="rId299" Type="http://schemas.openxmlformats.org/officeDocument/2006/relationships/hyperlink" Target="https://mailchi.mp/e831ff79b9e8/plataformaaida" TargetMode="External"/><Relationship Id="rId2187" Type="http://schemas.openxmlformats.org/officeDocument/2006/relationships/hyperlink" Target="http://www.psoe.es/cartagena/news/page/noticias.html" TargetMode="External"/><Relationship Id="rId2394" Type="http://schemas.openxmlformats.org/officeDocument/2006/relationships/hyperlink" Target="https://pbs.twimg.com/media/DtmqbvNW0AIvwkQ.jpg" TargetMode="External"/><Relationship Id="rId159" Type="http://schemas.openxmlformats.org/officeDocument/2006/relationships/hyperlink" Target="https://blogs.elconfidencial.com/espana/notebook/2018-12-08/vox-albert-rivera-pactos-andalucia-centro-europeista_1692818/" TargetMode="External"/><Relationship Id="rId366" Type="http://schemas.openxmlformats.org/officeDocument/2006/relationships/hyperlink" Target="https://www.elplural.com/politica/lo-nunca-contado-de-la-intima-amistad-entre-albert-rivera-y-santiago-abascal_207666102" TargetMode="External"/><Relationship Id="rId573" Type="http://schemas.openxmlformats.org/officeDocument/2006/relationships/hyperlink" Target="http://pic.twitter.com/TboKWuMYiS" TargetMode="External"/><Relationship Id="rId780" Type="http://schemas.openxmlformats.org/officeDocument/2006/relationships/hyperlink" Target="http://elmundotalcomovapd.blogspot.com.es/" TargetMode="External"/><Relationship Id="rId2047" Type="http://schemas.openxmlformats.org/officeDocument/2006/relationships/hyperlink" Target="http://www.noticias24horas.com/" TargetMode="External"/><Relationship Id="rId2254" Type="http://schemas.openxmlformats.org/officeDocument/2006/relationships/hyperlink" Target="https://www.20minutos.es/noticia/3508559/0/albert-rivera-defender-nuestra-constitucion/?utm_source=twitter.com&amp;utm_medium=socialshare&amp;utm_campaign=mobile_web" TargetMode="External"/><Relationship Id="rId2461" Type="http://schemas.openxmlformats.org/officeDocument/2006/relationships/hyperlink" Target="http://eldiario.es/cultura" TargetMode="External"/><Relationship Id="rId2699" Type="http://schemas.openxmlformats.org/officeDocument/2006/relationships/hyperlink" Target="http://www.jmlechuga.es/" TargetMode="External"/><Relationship Id="rId226" Type="http://schemas.openxmlformats.org/officeDocument/2006/relationships/hyperlink" Target="https://www.elconfidencialdigital.com/articulo/politica/albert-rivera-tiene-plan-pactar-vox-enfadar-socios-europeos/20181207212045119111.amp.html" TargetMode="External"/><Relationship Id="rId433" Type="http://schemas.openxmlformats.org/officeDocument/2006/relationships/hyperlink" Target="https://www.publico.es/publico-tv/en-la-frontera" TargetMode="External"/><Relationship Id="rId878" Type="http://schemas.openxmlformats.org/officeDocument/2006/relationships/hyperlink" Target="https://pbs.twimg.com/media/DtvT_-HX4AA9ie6.jpg" TargetMode="External"/><Relationship Id="rId1063" Type="http://schemas.openxmlformats.org/officeDocument/2006/relationships/hyperlink" Target="https://pbs.twimg.com/media/DtulHfgWoAAOG-F.jpg" TargetMode="External"/><Relationship Id="rId1270" Type="http://schemas.openxmlformats.org/officeDocument/2006/relationships/hyperlink" Target="http://pic.twitter.com/t2G2oxtCcR" TargetMode="External"/><Relationship Id="rId2114" Type="http://schemas.openxmlformats.org/officeDocument/2006/relationships/hyperlink" Target="https://t.me/AitorRiveiro" TargetMode="External"/><Relationship Id="rId2559" Type="http://schemas.openxmlformats.org/officeDocument/2006/relationships/hyperlink" Target="https://twitter.com/PatriotaNene/status/1069709689208877062" TargetMode="External"/><Relationship Id="rId2766" Type="http://schemas.openxmlformats.org/officeDocument/2006/relationships/hyperlink" Target="http://you.are.retarded.com/" TargetMode="External"/><Relationship Id="rId640" Type="http://schemas.openxmlformats.org/officeDocument/2006/relationships/hyperlink" Target="https://pbs.twimg.com/media/Dtw1LzKWwAEVwxc.jpg" TargetMode="External"/><Relationship Id="rId738" Type="http://schemas.openxmlformats.org/officeDocument/2006/relationships/hyperlink" Target="http://www.bitmomentum.com/" TargetMode="External"/><Relationship Id="rId945" Type="http://schemas.openxmlformats.org/officeDocument/2006/relationships/hyperlink" Target="https://elpais.com/ccaa/2018/12/05/catalunya/1544016361_262121.html" TargetMode="External"/><Relationship Id="rId1368" Type="http://schemas.openxmlformats.org/officeDocument/2006/relationships/hyperlink" Target="https://twitter.com/albertmartnez/status/1070422803546030080" TargetMode="External"/><Relationship Id="rId1575" Type="http://schemas.openxmlformats.org/officeDocument/2006/relationships/hyperlink" Target="http://a.msn.com/01/es-es/BBQwg6d?ocid=st" TargetMode="External"/><Relationship Id="rId1782" Type="http://schemas.openxmlformats.org/officeDocument/2006/relationships/hyperlink" Target="http://noticiarioespanol.com/" TargetMode="External"/><Relationship Id="rId2321" Type="http://schemas.openxmlformats.org/officeDocument/2006/relationships/hyperlink" Target="https://twitter.com/MSPE_Catalunya/status/1069707373068066822" TargetMode="External"/><Relationship Id="rId2419" Type="http://schemas.openxmlformats.org/officeDocument/2006/relationships/hyperlink" Target="https://www.zapper.news/news?tpost=248302&amp;taccount=zapper_news" TargetMode="External"/><Relationship Id="rId2626" Type="http://schemas.openxmlformats.org/officeDocument/2006/relationships/hyperlink" Target="https://www.instagram.com/dsegoviaatienza/" TargetMode="External"/><Relationship Id="rId74" Type="http://schemas.openxmlformats.org/officeDocument/2006/relationships/hyperlink" Target="http://pic.twitter.com/vIVD9193qt" TargetMode="External"/><Relationship Id="rId500" Type="http://schemas.openxmlformats.org/officeDocument/2006/relationships/hyperlink" Target="http://pic.twitter.com/hSU9RqIroU" TargetMode="External"/><Relationship Id="rId805" Type="http://schemas.openxmlformats.org/officeDocument/2006/relationships/hyperlink" Target="https://www.larazon.es/espana/cuidar-nuestra-constitucion-por-albert-rivera-BP20854162" TargetMode="External"/><Relationship Id="rId1130" Type="http://schemas.openxmlformats.org/officeDocument/2006/relationships/hyperlink" Target="https://www.ciudadanos-cs.org/" TargetMode="External"/><Relationship Id="rId1228" Type="http://schemas.openxmlformats.org/officeDocument/2006/relationships/hyperlink" Target="https://www.elespanol.com/espana/politica/20181205/rivera-vox-podemos-no-jugar-partido-guerracivilismo/358465296_0.html" TargetMode="External"/><Relationship Id="rId1435" Type="http://schemas.openxmlformats.org/officeDocument/2006/relationships/hyperlink" Target="https://www.pscp.tv/ESPCiudadana/1eaKbOykdmdGX" TargetMode="External"/><Relationship Id="rId1642" Type="http://schemas.openxmlformats.org/officeDocument/2006/relationships/hyperlink" Target="http://www.bitmomentum.com/" TargetMode="External"/><Relationship Id="rId1947" Type="http://schemas.openxmlformats.org/officeDocument/2006/relationships/hyperlink" Target="https://okdiario.com/espana/andalucia/2018/12/05/rivera-dispuesto-pacto-pp-sin-descartar-vox-pero-marin-presidente-3430883" TargetMode="External"/><Relationship Id="rId1502" Type="http://schemas.openxmlformats.org/officeDocument/2006/relationships/hyperlink" Target="https://www.20minutos.es/noticia/3508559/0/albert-rivera-defender-nuestra-constitucion/" TargetMode="External"/><Relationship Id="rId1807" Type="http://schemas.openxmlformats.org/officeDocument/2006/relationships/hyperlink" Target="http://shr.gs/4Yk1ljg" TargetMode="External"/><Relationship Id="rId290" Type="http://schemas.openxmlformats.org/officeDocument/2006/relationships/hyperlink" Target="https://www.huffingtonpost.es/2018/12/07/el-dardo-de-bertin-osborne-a-gabriel-rufian-y-pablo-iglesias-espana-es-el-pais-con-mas-politicos-idiotas-por-metro-cuadrado_a_23611885/" TargetMode="External"/><Relationship Id="rId388" Type="http://schemas.openxmlformats.org/officeDocument/2006/relationships/hyperlink" Target="https://www.elplural.com/politica/lo-nunca-contado-de-la-intima-amistad-entre-albert-rivera-y-santiago-abascal_207666102_amp?__twitter_impression=true" TargetMode="External"/><Relationship Id="rId2069" Type="http://schemas.openxmlformats.org/officeDocument/2006/relationships/hyperlink" Target="http://www.lextres.com/" TargetMode="External"/><Relationship Id="rId150" Type="http://schemas.openxmlformats.org/officeDocument/2006/relationships/hyperlink" Target="https://www.libremercado.com/2018-12-08/el-chiringuito-del-psoe-en-andalucia-24000-enchufados-y-un-coste-de-6000-millones-al-ano-1276629532/" TargetMode="External"/><Relationship Id="rId595" Type="http://schemas.openxmlformats.org/officeDocument/2006/relationships/hyperlink" Target="https://twitter.com/sterlingmrch/status/1070681768687210496" TargetMode="External"/><Relationship Id="rId2276" Type="http://schemas.openxmlformats.org/officeDocument/2006/relationships/hyperlink" Target="https://www.elconfidencial.com/espana/2018-12-04/directo-pedro-sanchez-entrevista_1686582/?utm_source=twitter&amp;utm_medium=social&amp;utm_campaign=BotoneraWeb" TargetMode="External"/><Relationship Id="rId2483" Type="http://schemas.openxmlformats.org/officeDocument/2006/relationships/hyperlink" Target="https://twitter.com/Albert_Rivera/status/1069709488574337025" TargetMode="External"/><Relationship Id="rId2690" Type="http://schemas.openxmlformats.org/officeDocument/2006/relationships/hyperlink" Target="http://jimgzamora.wordpress.com/" TargetMode="External"/><Relationship Id="rId248" Type="http://schemas.openxmlformats.org/officeDocument/2006/relationships/hyperlink" Target="https://twitter.com/Albert_Rivera/status/1071057133142192128" TargetMode="External"/><Relationship Id="rId455" Type="http://schemas.openxmlformats.org/officeDocument/2006/relationships/hyperlink" Target="http://www.citizengo.org/hazteoir/pc/167099-al-psoe-ni-agua-sr-rivera?tc=tw&amp;tcid=52565947" TargetMode="External"/><Relationship Id="rId662" Type="http://schemas.openxmlformats.org/officeDocument/2006/relationships/hyperlink" Target="http://contracobardes.blogspot.com.es/?m=1" TargetMode="External"/><Relationship Id="rId1085" Type="http://schemas.openxmlformats.org/officeDocument/2006/relationships/hyperlink" Target="https://elpais.com/politica/2018/11/28/actualidad/1543422865_729627.html?id_externo_rsoc=TW_CC" TargetMode="External"/><Relationship Id="rId1292" Type="http://schemas.openxmlformats.org/officeDocument/2006/relationships/hyperlink" Target="http://www.bitmomentum.com/" TargetMode="External"/><Relationship Id="rId2136" Type="http://schemas.openxmlformats.org/officeDocument/2006/relationships/hyperlink" Target="https://www.20minutos.es/noticia/3508559/0/albert-rivera-defender-nuestra-constitucion/" TargetMode="External"/><Relationship Id="rId2343" Type="http://schemas.openxmlformats.org/officeDocument/2006/relationships/hyperlink" Target="http://dlvr.it/Qss7VK" TargetMode="External"/><Relationship Id="rId2550" Type="http://schemas.openxmlformats.org/officeDocument/2006/relationships/hyperlink" Target="http://about.me/publikaccion" TargetMode="External"/><Relationship Id="rId2788" Type="http://schemas.openxmlformats.org/officeDocument/2006/relationships/hyperlink" Target="http://mundiario.com/" TargetMode="External"/><Relationship Id="rId108" Type="http://schemas.openxmlformats.org/officeDocument/2006/relationships/hyperlink" Target="https://pbs.twimg.com/media/Dt5A9f1WoAAG6eb.jpg" TargetMode="External"/><Relationship Id="rId315" Type="http://schemas.openxmlformats.org/officeDocument/2006/relationships/hyperlink" Target="https://www.playgroundmag.net/now/europa-o-los-fachas-la-amnesia-disociativa-de-albert-rivera_31443293.html" TargetMode="External"/><Relationship Id="rId522" Type="http://schemas.openxmlformats.org/officeDocument/2006/relationships/hyperlink" Target="http://www.citizengo.org/hazteoir/pc/167099-al-psoe-ni-agua-sr-rivera?tc=tw&amp;tcid=52557687" TargetMode="External"/><Relationship Id="rId967" Type="http://schemas.openxmlformats.org/officeDocument/2006/relationships/hyperlink" Target="https://bit.ly/2Uf1IyO" TargetMode="External"/><Relationship Id="rId1152" Type="http://schemas.openxmlformats.org/officeDocument/2006/relationships/hyperlink" Target="http://pic.twitter.com/4EhDwSZ5SJ" TargetMode="External"/><Relationship Id="rId1597" Type="http://schemas.openxmlformats.org/officeDocument/2006/relationships/hyperlink" Target="https://pbs.twimg.com/media/Dto15rtXgAAQuHF.jpg" TargetMode="External"/><Relationship Id="rId2203" Type="http://schemas.openxmlformats.org/officeDocument/2006/relationships/hyperlink" Target="https://youtu.be/PbnwJpoIXnE" TargetMode="External"/><Relationship Id="rId2410" Type="http://schemas.openxmlformats.org/officeDocument/2006/relationships/hyperlink" Target="http://pic.twitter.com/qeiTEucKjT" TargetMode="External"/><Relationship Id="rId2648" Type="http://schemas.openxmlformats.org/officeDocument/2006/relationships/hyperlink" Target="https://pbs.twimg.com/media/DtkUujxWsAAS5eC.jpg" TargetMode="External"/><Relationship Id="rId96" Type="http://schemas.openxmlformats.org/officeDocument/2006/relationships/hyperlink" Target="http://lab.elmundo.es/emmanuel-macron/albert-rivera.html" TargetMode="External"/><Relationship Id="rId827" Type="http://schemas.openxmlformats.org/officeDocument/2006/relationships/hyperlink" Target="https://ift.tt/2UoUNmC" TargetMode="External"/><Relationship Id="rId1012" Type="http://schemas.openxmlformats.org/officeDocument/2006/relationships/hyperlink" Target="https://www.20minutos.es/noticia/3508559/0/albert-rivera-defender-nuestra-constitucion/?utm_source=twitter.com&amp;utm_medium=socialshare&amp;utm_campaign=mobile_web" TargetMode="External"/><Relationship Id="rId1457" Type="http://schemas.openxmlformats.org/officeDocument/2006/relationships/hyperlink" Target="https://www.20minutos.es/noticia/3508559/0/albert-rivera-defender-nuestra-constitucion/" TargetMode="External"/><Relationship Id="rId1664" Type="http://schemas.openxmlformats.org/officeDocument/2006/relationships/hyperlink" Target="http://www.vinalopodigital.net/" TargetMode="External"/><Relationship Id="rId1871" Type="http://schemas.openxmlformats.org/officeDocument/2006/relationships/hyperlink" Target="https://www.20minutos.es/noticia/3508559/0/albert-rivera-defender-nuestra-constitucion/?utm_source=twitter.com&amp;utm_medium=socialshare&amp;utm_campaign=mobile_web" TargetMode="External"/><Relationship Id="rId2508" Type="http://schemas.openxmlformats.org/officeDocument/2006/relationships/hyperlink" Target="http://www.ppfuenlabrada.es/" TargetMode="External"/><Relationship Id="rId2715" Type="http://schemas.openxmlformats.org/officeDocument/2006/relationships/hyperlink" Target="http://pic.twitter.com/nWTR8TTCoS" TargetMode="External"/><Relationship Id="rId1317" Type="http://schemas.openxmlformats.org/officeDocument/2006/relationships/hyperlink" Target="https://pbs.twimg.com/media/DtsM9aIWkAATAei.jpg" TargetMode="External"/><Relationship Id="rId1524" Type="http://schemas.openxmlformats.org/officeDocument/2006/relationships/hyperlink" Target="http://www.periodistadigital.com/" TargetMode="External"/><Relationship Id="rId1731" Type="http://schemas.openxmlformats.org/officeDocument/2006/relationships/hyperlink" Target="http://a.msn.com/01/es-es/BBQwg6d?ocid=st" TargetMode="External"/><Relationship Id="rId1969" Type="http://schemas.openxmlformats.org/officeDocument/2006/relationships/hyperlink" Target="http://www.lavanguardia.com/" TargetMode="External"/><Relationship Id="rId23" Type="http://schemas.openxmlformats.org/officeDocument/2006/relationships/hyperlink" Target="https://www.elmundo.es/internacional/2018/12/08/5c0b8d2021efa007548b45f0.html" TargetMode="External"/><Relationship Id="rId1829" Type="http://schemas.openxmlformats.org/officeDocument/2006/relationships/hyperlink" Target="http://riazordeportivo.blogspot.com.es/" TargetMode="External"/><Relationship Id="rId2298" Type="http://schemas.openxmlformats.org/officeDocument/2006/relationships/hyperlink" Target="https://m.eldiario.es/rastreador/Monde-advierte-Ciudadanos-Casado-normalizar-extrema-derecha_6_842775750.html" TargetMode="External"/><Relationship Id="rId172" Type="http://schemas.openxmlformats.org/officeDocument/2006/relationships/hyperlink" Target="https://www.elconfidencialdigital.com/articulo/politica/albert-rivera-tiene-plan-pactar-vox-enfadar-socios-europeos/20181207212045119111.html&amp;utm_source=social&amp;utm_medium=twitter&amp;utm_campaign=share_button" TargetMode="External"/><Relationship Id="rId477" Type="http://schemas.openxmlformats.org/officeDocument/2006/relationships/hyperlink" Target="https://pbs.twimg.com/media/Dtp_vkxXgAEBPCR.jpg" TargetMode="External"/><Relationship Id="rId684" Type="http://schemas.openxmlformats.org/officeDocument/2006/relationships/hyperlink" Target="https://www.libertaddigital.com/espana/2018-12-06/cs-en-una-encrucijada-mortal-tendra-que-elegir-entre-perder-votos-azules-o-naranjas-1276629469/" TargetMode="External"/><Relationship Id="rId2060" Type="http://schemas.openxmlformats.org/officeDocument/2006/relationships/hyperlink" Target="http://www.sevilla24horas.com/" TargetMode="External"/><Relationship Id="rId2158" Type="http://schemas.openxmlformats.org/officeDocument/2006/relationships/hyperlink" Target="https://www.facebook.com/kodiario/" TargetMode="External"/><Relationship Id="rId2365" Type="http://schemas.openxmlformats.org/officeDocument/2006/relationships/hyperlink" Target="http://pic.twitter.com/rDQXHdsbzb" TargetMode="External"/><Relationship Id="rId337" Type="http://schemas.openxmlformats.org/officeDocument/2006/relationships/hyperlink" Target="https://www.instagram.com/david_seb115/" TargetMode="External"/><Relationship Id="rId891" Type="http://schemas.openxmlformats.org/officeDocument/2006/relationships/hyperlink" Target="http://youtu.be/pDbPPxqGafk?a" TargetMode="External"/><Relationship Id="rId989" Type="http://schemas.openxmlformats.org/officeDocument/2006/relationships/hyperlink" Target="https://pbs.twimg.com/media/Dtu2fKBW4AEkh3s.jpg" TargetMode="External"/><Relationship Id="rId2018" Type="http://schemas.openxmlformats.org/officeDocument/2006/relationships/hyperlink" Target="http://pic.twitter.com/jkR7lBE4GT" TargetMode="External"/><Relationship Id="rId2572" Type="http://schemas.openxmlformats.org/officeDocument/2006/relationships/hyperlink" Target="https://okdiario.com/espana/2018/12/04/podemos-cree-que-sanchez-inclina-adelantar-elecciones-generales-marzo-o-abril-3426685" TargetMode="External"/><Relationship Id="rId544" Type="http://schemas.openxmlformats.org/officeDocument/2006/relationships/hyperlink" Target="http://cseuropa.ciudadanos-cs.org/" TargetMode="External"/><Relationship Id="rId751" Type="http://schemas.openxmlformats.org/officeDocument/2006/relationships/hyperlink" Target="https://twitter.com/Albert_Rivera/status/1070425503234961410" TargetMode="External"/><Relationship Id="rId849" Type="http://schemas.openxmlformats.org/officeDocument/2006/relationships/hyperlink" Target="http://www.infolibre.es/" TargetMode="External"/><Relationship Id="rId1174" Type="http://schemas.openxmlformats.org/officeDocument/2006/relationships/hyperlink" Target="http://www.heraldo.es/" TargetMode="External"/><Relationship Id="rId1381" Type="http://schemas.openxmlformats.org/officeDocument/2006/relationships/hyperlink" Target="https://okdiario.com/espana/2018/12/05/iglesias-plantea-ciudadanos-que-ponga-encima-mesa-acuerdo-andalucia-3430367/amp" TargetMode="External"/><Relationship Id="rId1479" Type="http://schemas.openxmlformats.org/officeDocument/2006/relationships/hyperlink" Target="https://pbs.twimg.com/media/DtrnIVFWkAEMiiT.jpg" TargetMode="External"/><Relationship Id="rId1686" Type="http://schemas.openxmlformats.org/officeDocument/2006/relationships/hyperlink" Target="http://dlvr.it/Qsvn7Q" TargetMode="External"/><Relationship Id="rId2225" Type="http://schemas.openxmlformats.org/officeDocument/2006/relationships/hyperlink" Target="http://bit.ly/2RBtkfU" TargetMode="External"/><Relationship Id="rId2432" Type="http://schemas.openxmlformats.org/officeDocument/2006/relationships/hyperlink" Target="https://twitter.com/harryelsocio/status/1070043579400232960" TargetMode="External"/><Relationship Id="rId404" Type="http://schemas.openxmlformats.org/officeDocument/2006/relationships/hyperlink" Target="http://instagram.com/canivell" TargetMode="External"/><Relationship Id="rId611" Type="http://schemas.openxmlformats.org/officeDocument/2006/relationships/hyperlink" Target="https://pbs.twimg.com/media/Dtp_vkxXgAEBPCR.jpg" TargetMode="External"/><Relationship Id="rId1034" Type="http://schemas.openxmlformats.org/officeDocument/2006/relationships/hyperlink" Target="http://ww.cope.es/cjv1e1" TargetMode="External"/><Relationship Id="rId1241" Type="http://schemas.openxmlformats.org/officeDocument/2006/relationships/hyperlink" Target="http://trendinalia.com/twitter-trending-topics/spain/" TargetMode="External"/><Relationship Id="rId1339" Type="http://schemas.openxmlformats.org/officeDocument/2006/relationships/hyperlink" Target="https://ca.wikipedia.org/wiki/Sant_Esteve_de_les_Roures" TargetMode="External"/><Relationship Id="rId1893" Type="http://schemas.openxmlformats.org/officeDocument/2006/relationships/hyperlink" Target="http://pic.twitter.com/k8zolDbkGI" TargetMode="External"/><Relationship Id="rId2737" Type="http://schemas.openxmlformats.org/officeDocument/2006/relationships/hyperlink" Target="http://bit.ly/2Qffsv5" TargetMode="External"/><Relationship Id="rId709" Type="http://schemas.openxmlformats.org/officeDocument/2006/relationships/hyperlink" Target="https://m.facebook.com/diegoclementeciudadano/" TargetMode="External"/><Relationship Id="rId916" Type="http://schemas.openxmlformats.org/officeDocument/2006/relationships/hyperlink" Target="http://elblogdejavierlopez.com/carta-abierta-a-felipe-de-borbon/" TargetMode="External"/><Relationship Id="rId1101" Type="http://schemas.openxmlformats.org/officeDocument/2006/relationships/hyperlink" Target="https://www.jotdown.es/2018/02/murcia-una-escena-teatral-con-denominacion-de-origen/" TargetMode="External"/><Relationship Id="rId1546" Type="http://schemas.openxmlformats.org/officeDocument/2006/relationships/hyperlink" Target="https://www.elmundo.es/espana/2018/12/05/5c07d10afc6c83de3f8b475c.html" TargetMode="External"/><Relationship Id="rId1753" Type="http://schemas.openxmlformats.org/officeDocument/2006/relationships/hyperlink" Target="https://www.elmundo.es/espana/2018/12/05/5c07d10afc6c83de3f8b475c.html" TargetMode="External"/><Relationship Id="rId1960" Type="http://schemas.openxmlformats.org/officeDocument/2006/relationships/hyperlink" Target="https://pbs.twimg.com/media/DtqPn2IXQAAK3sb.jpg" TargetMode="External"/><Relationship Id="rId45" Type="http://schemas.openxmlformats.org/officeDocument/2006/relationships/hyperlink" Target="https://youtu.be/GLdHfr4M7QE" TargetMode="External"/><Relationship Id="rId1406" Type="http://schemas.openxmlformats.org/officeDocument/2006/relationships/hyperlink" Target="http://adanesmit.blogspot.com/" TargetMode="External"/><Relationship Id="rId1613" Type="http://schemas.openxmlformats.org/officeDocument/2006/relationships/hyperlink" Target="http://juanclaudiolechin.blogspot.com/" TargetMode="External"/><Relationship Id="rId1820" Type="http://schemas.openxmlformats.org/officeDocument/2006/relationships/hyperlink" Target="http://telemd.es/g6qqa4" TargetMode="External"/><Relationship Id="rId194" Type="http://schemas.openxmlformats.org/officeDocument/2006/relationships/hyperlink" Target="https://blogs.elconfidencial.com/espana/notebook/2018-12-08/vox-albert-rivera-pactos-andalucia-centro-europeista_1692818/?utm_source=facebook&amp;utm_medium=social&amp;utm_campaign=BotoneraWeb" TargetMode="External"/><Relationship Id="rId1918" Type="http://schemas.openxmlformats.org/officeDocument/2006/relationships/hyperlink" Target="http://instagram.com/fco_cp/" TargetMode="External"/><Relationship Id="rId2082" Type="http://schemas.openxmlformats.org/officeDocument/2006/relationships/hyperlink" Target="http://pic.twitter.com/Aj1ycKU7BI" TargetMode="External"/><Relationship Id="rId261" Type="http://schemas.openxmlformats.org/officeDocument/2006/relationships/hyperlink" Target="http://pic.twitter.com/HwpCZM1EMt" TargetMode="External"/><Relationship Id="rId499" Type="http://schemas.openxmlformats.org/officeDocument/2006/relationships/hyperlink" Target="https://twitter.com/_ju1_/status/1070822535686696965" TargetMode="External"/><Relationship Id="rId2387" Type="http://schemas.openxmlformats.org/officeDocument/2006/relationships/hyperlink" Target="https://pbs.twimg.com/media/Dtm3QfkWsAEPeGe.jpg" TargetMode="External"/><Relationship Id="rId2594" Type="http://schemas.openxmlformats.org/officeDocument/2006/relationships/hyperlink" Target="http://movimiento-social.webnode.es/" TargetMode="External"/><Relationship Id="rId359" Type="http://schemas.openxmlformats.org/officeDocument/2006/relationships/hyperlink" Target="https://twitter.com/tupendoES/status/1071018778316673025" TargetMode="External"/><Relationship Id="rId566" Type="http://schemas.openxmlformats.org/officeDocument/2006/relationships/hyperlink" Target="https://www.elperiodico.com/es/ocio-y-cultura/20181205/entrevista-alberto-san-juan-willy-toledo-el-rey-7186754?utm_source=twitter&amp;utm_medium=social" TargetMode="External"/><Relationship Id="rId773" Type="http://schemas.openxmlformats.org/officeDocument/2006/relationships/hyperlink" Target="https://www.facebook.com/1154066417/posts/10215559494317828/" TargetMode="External"/><Relationship Id="rId1196" Type="http://schemas.openxmlformats.org/officeDocument/2006/relationships/hyperlink" Target="https://www.libertaddigital.com/cultura/historia/2018-12-06/pedro-fernandez-barbadillo-40-anos-el-agujero-de-la-espana-vacia-crece-86650/" TargetMode="External"/><Relationship Id="rId2247" Type="http://schemas.openxmlformats.org/officeDocument/2006/relationships/hyperlink" Target="https://elpais.com/politica/2018/12/04/actualidad/1543908109_773507.html?id_externo_rsoc=TW_CC" TargetMode="External"/><Relationship Id="rId2454" Type="http://schemas.openxmlformats.org/officeDocument/2006/relationships/hyperlink" Target="https://twitter.com/yolandacmorin/status/1070041519766286336" TargetMode="External"/><Relationship Id="rId121" Type="http://schemas.openxmlformats.org/officeDocument/2006/relationships/hyperlink" Target="https://www.facebook.com/salvador.cruzquintana/posts/1947444858625989" TargetMode="External"/><Relationship Id="rId219" Type="http://schemas.openxmlformats.org/officeDocument/2006/relationships/hyperlink" Target="http://facebook.com/majose.valiente" TargetMode="External"/><Relationship Id="rId426" Type="http://schemas.openxmlformats.org/officeDocument/2006/relationships/hyperlink" Target="https://www.elplural.com/politica/lo-nunca-contado-de-la-intima-amistad-entre-albert-rivera-y-santiago-abascal_207666102" TargetMode="External"/><Relationship Id="rId633" Type="http://schemas.openxmlformats.org/officeDocument/2006/relationships/hyperlink" Target="https://www.elsaltodiario.com/elecciones-autonomicas/andalucia-se-encamina-hacia-las-urnas-campana-e" TargetMode="External"/><Relationship Id="rId980" Type="http://schemas.openxmlformats.org/officeDocument/2006/relationships/hyperlink" Target="https://pbs.twimg.com/media/Dtu4qjEXcAASL5l.jpg" TargetMode="External"/><Relationship Id="rId1056" Type="http://schemas.openxmlformats.org/officeDocument/2006/relationships/hyperlink" Target="http://www.jorgealvaro.com/" TargetMode="External"/><Relationship Id="rId1263" Type="http://schemas.openxmlformats.org/officeDocument/2006/relationships/hyperlink" Target="http://www.bitmomentum.com/" TargetMode="External"/><Relationship Id="rId2107" Type="http://schemas.openxmlformats.org/officeDocument/2006/relationships/hyperlink" Target="https://pbs.twimg.com/media/DtpyNkjWwAAUo8I.jpg" TargetMode="External"/><Relationship Id="rId2314" Type="http://schemas.openxmlformats.org/officeDocument/2006/relationships/hyperlink" Target="https://en.wikipedia.org/wiki/Pere_d%27Albern%C3%AD_i_Teixidor" TargetMode="External"/><Relationship Id="rId2661" Type="http://schemas.openxmlformats.org/officeDocument/2006/relationships/hyperlink" Target="https://twitter.com/Albert_Rivera/status/1069709488574337025" TargetMode="External"/><Relationship Id="rId2759" Type="http://schemas.openxmlformats.org/officeDocument/2006/relationships/hyperlink" Target="http://mediterraneo.diario16.com/las-redes-piensan-rivera-consume-drogas/" TargetMode="External"/><Relationship Id="rId840" Type="http://schemas.openxmlformats.org/officeDocument/2006/relationships/hyperlink" Target="http://www.megustaleer.com/libros/palabra-de-dios-tuitero/AG14848" TargetMode="External"/><Relationship Id="rId938" Type="http://schemas.openxmlformats.org/officeDocument/2006/relationships/hyperlink" Target="http://www.sevilla24horas.com/" TargetMode="External"/><Relationship Id="rId1470" Type="http://schemas.openxmlformats.org/officeDocument/2006/relationships/hyperlink" Target="https://www.lasexta.com/noticias/nacional/albert-rivera-llama-a-la-moderacion-tras-el-escrache-en-barcelona-tenemos-que-dar-la-batalla-para-no-estar-en-manos-de-extremistas-video_201812055c082f500cf26a2d5572b04f.html" TargetMode="External"/><Relationship Id="rId1568" Type="http://schemas.openxmlformats.org/officeDocument/2006/relationships/hyperlink" Target="https://www.ciudadanos-cs.org/" TargetMode="External"/><Relationship Id="rId1775" Type="http://schemas.openxmlformats.org/officeDocument/2006/relationships/hyperlink" Target="https://bit.ly/2E4xTeV" TargetMode="External"/><Relationship Id="rId2521" Type="http://schemas.openxmlformats.org/officeDocument/2006/relationships/hyperlink" Target="https://goo.gl/i1UjCm?leg96=2218551670" TargetMode="External"/><Relationship Id="rId2619" Type="http://schemas.openxmlformats.org/officeDocument/2006/relationships/hyperlink" Target="https://www.lavanguardia.com/politica/20181204/453340121203/quim-torra-querella-candidato-cs-andalucia-juan-marin-injurias-calumnias.html?utm_campaign=botones_sociales&amp;utm_source=whatsapp&amp;utm_medium=social" TargetMode="External"/><Relationship Id="rId67" Type="http://schemas.openxmlformats.org/officeDocument/2006/relationships/hyperlink" Target="http://www.elcheclubdefutbolsad.com/" TargetMode="External"/><Relationship Id="rId700" Type="http://schemas.openxmlformats.org/officeDocument/2006/relationships/hyperlink" Target="https://medium.com/@eraser" TargetMode="External"/><Relationship Id="rId1123" Type="http://schemas.openxmlformats.org/officeDocument/2006/relationships/hyperlink" Target="http://www.ciudadanos-cs.org/" TargetMode="External"/><Relationship Id="rId1330" Type="http://schemas.openxmlformats.org/officeDocument/2006/relationships/hyperlink" Target="https://pbs.twimg.com/media/DtsJF0VWwAA2zET.jpg" TargetMode="External"/><Relationship Id="rId1428" Type="http://schemas.openxmlformats.org/officeDocument/2006/relationships/hyperlink" Target="https://twitter.com/cslarioja/status/1066754640933400577" TargetMode="External"/><Relationship Id="rId1635" Type="http://schemas.openxmlformats.org/officeDocument/2006/relationships/hyperlink" Target="https://m.huffingtonpost.es/2018/12/05/intentan-boicotear-un-acto-de-albert-rivera-en-el-liceo-al-grito-de-fuera-fascistas_a_23609607/" TargetMode="External"/><Relationship Id="rId1982" Type="http://schemas.openxmlformats.org/officeDocument/2006/relationships/hyperlink" Target="https://www.elmundo.es/espana/2018/12/05/5c07d10afc6c83de3f8b475c.html" TargetMode="External"/><Relationship Id="rId1842" Type="http://schemas.openxmlformats.org/officeDocument/2006/relationships/hyperlink" Target="https://pbs.twimg.com/media/DtqpNqIXcAEc47b.jpg" TargetMode="External"/><Relationship Id="rId1702" Type="http://schemas.openxmlformats.org/officeDocument/2006/relationships/hyperlink" Target="https://www.ciudadanos-cs.org/" TargetMode="External"/><Relationship Id="rId283" Type="http://schemas.openxmlformats.org/officeDocument/2006/relationships/hyperlink" Target="https://www.ciudadanos-cs.org/" TargetMode="External"/><Relationship Id="rId490" Type="http://schemas.openxmlformats.org/officeDocument/2006/relationships/hyperlink" Target="http://www.fuengirolatv.com/" TargetMode="External"/><Relationship Id="rId2171" Type="http://schemas.openxmlformats.org/officeDocument/2006/relationships/hyperlink" Target="https://www.eldiario.es/_323ad5dc" TargetMode="External"/><Relationship Id="rId143" Type="http://schemas.openxmlformats.org/officeDocument/2006/relationships/hyperlink" Target="http://www.huffingtonpost.es/" TargetMode="External"/><Relationship Id="rId350" Type="http://schemas.openxmlformats.org/officeDocument/2006/relationships/hyperlink" Target="http://www.multiforo.eu/" TargetMode="External"/><Relationship Id="rId588" Type="http://schemas.openxmlformats.org/officeDocument/2006/relationships/hyperlink" Target="https://twitter.com/Watcher_Ven/status/1070726946458357763" TargetMode="External"/><Relationship Id="rId795" Type="http://schemas.openxmlformats.org/officeDocument/2006/relationships/hyperlink" Target="https://pbs.twimg.com/media/Dtv0upJW4AA_Cuh.jpg" TargetMode="External"/><Relationship Id="rId2031" Type="http://schemas.openxmlformats.org/officeDocument/2006/relationships/hyperlink" Target="http://ocucoeabalsa.com/" TargetMode="External"/><Relationship Id="rId2269" Type="http://schemas.openxmlformats.org/officeDocument/2006/relationships/hyperlink" Target="https://pbs.twimg.com/media/Dto0hBPW4AASmgh.jpg" TargetMode="External"/><Relationship Id="rId2476" Type="http://schemas.openxmlformats.org/officeDocument/2006/relationships/hyperlink" Target="http://www.ciudadanos-cs.org/" TargetMode="External"/><Relationship Id="rId2683" Type="http://schemas.openxmlformats.org/officeDocument/2006/relationships/hyperlink" Target="https://www.youtube.com/attribution_link?a=QZ-RGefVtYQ&amp;u=%2Fwatch%3Fv%3D2_U7d0t-jbs%26feature%3Dshare" TargetMode="External"/><Relationship Id="rId9" Type="http://schemas.openxmlformats.org/officeDocument/2006/relationships/hyperlink" Target="http://www.citizengo.org/hazteoir/pc/167099-al-psoe-ni-agua-sr-rivera?tc=tw&amp;tcid=52582936" TargetMode="External"/><Relationship Id="rId210" Type="http://schemas.openxmlformats.org/officeDocument/2006/relationships/hyperlink" Target="https://www.elplural.com/politica/lo-nunca-contado-de-la-intima-amistad-entre-albert-rivera-y-santiago-abascal_207666102" TargetMode="External"/><Relationship Id="rId448" Type="http://schemas.openxmlformats.org/officeDocument/2006/relationships/hyperlink" Target="http://www.citizengo.org/hazteoir/pc/167099-al-psoe-ni-agua-sr-rivera?tc=tw&amp;tcid=52566313" TargetMode="External"/><Relationship Id="rId655" Type="http://schemas.openxmlformats.org/officeDocument/2006/relationships/hyperlink" Target="http://pic.twitter.com/JhawL4EuhS" TargetMode="External"/><Relationship Id="rId862" Type="http://schemas.openxmlformats.org/officeDocument/2006/relationships/hyperlink" Target="http://pic.twitter.com/5Ot0Y7Geqb" TargetMode="External"/><Relationship Id="rId1078" Type="http://schemas.openxmlformats.org/officeDocument/2006/relationships/hyperlink" Target="https://pbs.twimg.com/media/DtugBmaW0AAEDCT.jpg" TargetMode="External"/><Relationship Id="rId1285" Type="http://schemas.openxmlformats.org/officeDocument/2006/relationships/hyperlink" Target="http://a.msn.com/01/es-es/BBQwg6d?ocid=st" TargetMode="External"/><Relationship Id="rId1492" Type="http://schemas.openxmlformats.org/officeDocument/2006/relationships/hyperlink" Target="http://pic.twitter.com/hlK1wFUrt4" TargetMode="External"/><Relationship Id="rId2129" Type="http://schemas.openxmlformats.org/officeDocument/2006/relationships/hyperlink" Target="http://quelcuttiana.blogspot.com.es/" TargetMode="External"/><Relationship Id="rId2336" Type="http://schemas.openxmlformats.org/officeDocument/2006/relationships/hyperlink" Target="https://www.elnacional.cat/es/politica/editorial-monde-leer-albert-rivera_331719_102.html" TargetMode="External"/><Relationship Id="rId2543" Type="http://schemas.openxmlformats.org/officeDocument/2006/relationships/hyperlink" Target="https://twitter.com/andy66warhol/status/1069988959063826433" TargetMode="External"/><Relationship Id="rId2750" Type="http://schemas.openxmlformats.org/officeDocument/2006/relationships/hyperlink" Target="http://montcada.ciudadanos-cs.org/" TargetMode="External"/><Relationship Id="rId308" Type="http://schemas.openxmlformats.org/officeDocument/2006/relationships/hyperlink" Target="https://www.youtube.com/channel/UC03ra7_FNqzCzVs43anV2Mg" TargetMode="External"/><Relationship Id="rId515" Type="http://schemas.openxmlformats.org/officeDocument/2006/relationships/hyperlink" Target="https://www.facebook.com/pages/Ciudadanos-Pescados/921115804614055?fref=nf" TargetMode="External"/><Relationship Id="rId722" Type="http://schemas.openxmlformats.org/officeDocument/2006/relationships/hyperlink" Target="https://www.youtube.com/channel/UCY60GBj-H8SmayRG1UgDVWw" TargetMode="External"/><Relationship Id="rId1145" Type="http://schemas.openxmlformats.org/officeDocument/2006/relationships/hyperlink" Target="https://www.elconfidencial.com/cultura/2018-12-06/cronica-urgente-espana-museo-cera-cabeza-rivera-broma_1678174/?utm_source=facebook&amp;utm_medium=social&amp;utm_campaign=BotoneraWeb" TargetMode="External"/><Relationship Id="rId1352" Type="http://schemas.openxmlformats.org/officeDocument/2006/relationships/hyperlink" Target="http://www.radiopunto.com/" TargetMode="External"/><Relationship Id="rId1797" Type="http://schemas.openxmlformats.org/officeDocument/2006/relationships/hyperlink" Target="http://a.msn.com/01/es-es/BBQwg6d?ocid=st" TargetMode="External"/><Relationship Id="rId2403" Type="http://schemas.openxmlformats.org/officeDocument/2006/relationships/hyperlink" Target="http://www.lextres.com/" TargetMode="External"/><Relationship Id="rId89" Type="http://schemas.openxmlformats.org/officeDocument/2006/relationships/hyperlink" Target="https://twitter.com/Cs_Andalucia/status/1071367559268745217" TargetMode="External"/><Relationship Id="rId1005" Type="http://schemas.openxmlformats.org/officeDocument/2006/relationships/hyperlink" Target="http://news.asnerp.com/galleries/go/19122/conference-by-manuel-valls-and-a-rivera-in-barcel" TargetMode="External"/><Relationship Id="rId1212" Type="http://schemas.openxmlformats.org/officeDocument/2006/relationships/hyperlink" Target="http://pic.twitter.com/hlK1wFUrt4" TargetMode="External"/><Relationship Id="rId1657" Type="http://schemas.openxmlformats.org/officeDocument/2006/relationships/hyperlink" Target="https://twitter.com/Albert_Rivera/status/1070386956192899072" TargetMode="External"/><Relationship Id="rId1864" Type="http://schemas.openxmlformats.org/officeDocument/2006/relationships/hyperlink" Target="https://pbs.twimg.com/media/DtqiTKCWsAIuQht.jpg" TargetMode="External"/><Relationship Id="rId2610" Type="http://schemas.openxmlformats.org/officeDocument/2006/relationships/hyperlink" Target="https://pbs.twimg.com/media/Dtkg-OKW0AEdqH6.jpg" TargetMode="External"/><Relationship Id="rId2708" Type="http://schemas.openxmlformats.org/officeDocument/2006/relationships/hyperlink" Target="http://pic.twitter.com/mW2rV19MdX" TargetMode="External"/><Relationship Id="rId1517" Type="http://schemas.openxmlformats.org/officeDocument/2006/relationships/hyperlink" Target="http://gava.ciudadanos-cs.org/" TargetMode="External"/><Relationship Id="rId1724" Type="http://schemas.openxmlformats.org/officeDocument/2006/relationships/hyperlink" Target="http://pic.twitter.com/bmhPQ6WfEM" TargetMode="External"/><Relationship Id="rId16" Type="http://schemas.openxmlformats.org/officeDocument/2006/relationships/hyperlink" Target="http://www.blogdejocastela.blogspot.com.es/" TargetMode="External"/><Relationship Id="rId1931" Type="http://schemas.openxmlformats.org/officeDocument/2006/relationships/hyperlink" Target="http://ramblalibre.com/2018/12/05/pedro-j-ramirez-obsesionado-contra-vox-impone-sus-criterios-a-albert-rivera/" TargetMode="External"/><Relationship Id="rId2193" Type="http://schemas.openxmlformats.org/officeDocument/2006/relationships/hyperlink" Target="http://www.lecturalia.com/autor/2983/joseph-gelinek" TargetMode="External"/><Relationship Id="rId2498" Type="http://schemas.openxmlformats.org/officeDocument/2006/relationships/hyperlink" Target="http://www.cbarros.com/" TargetMode="External"/><Relationship Id="rId165" Type="http://schemas.openxmlformats.org/officeDocument/2006/relationships/hyperlink" Target="https://pbs.twimg.com/media/Dtv4NTjXcAEm5uP.jpg" TargetMode="External"/><Relationship Id="rId372" Type="http://schemas.openxmlformats.org/officeDocument/2006/relationships/hyperlink" Target="https://www.elplural.com/politica/lo-nunca-contado-de-la-intima-amistad-entre-albert-rivera-y-santiago-abascal_207666102" TargetMode="External"/><Relationship Id="rId677" Type="http://schemas.openxmlformats.org/officeDocument/2006/relationships/hyperlink" Target="https://pbs.twimg.com/media/DtwbGQCXcAAEO3i.jpg" TargetMode="External"/><Relationship Id="rId2053" Type="http://schemas.openxmlformats.org/officeDocument/2006/relationships/hyperlink" Target="https://okdiario.com/espana/2018/12/05/abascal-responde-rivera-ciudadanos-toro-manso-nosotros-somos-bravos-3426819?utm_campaign=ok&amp;utm_medium=Social&amp;utm_source=Twitter" TargetMode="External"/><Relationship Id="rId2260" Type="http://schemas.openxmlformats.org/officeDocument/2006/relationships/hyperlink" Target="https://www.20minutos.es/noticia/3508559/0/albert-rivera-defender-nuestra-constitucion/" TargetMode="External"/><Relationship Id="rId2358" Type="http://schemas.openxmlformats.org/officeDocument/2006/relationships/hyperlink" Target="https://www.goodreads.com/user/show/59730922-ngeles" TargetMode="External"/><Relationship Id="rId232" Type="http://schemas.openxmlformats.org/officeDocument/2006/relationships/hyperlink" Target="https://www.huffingtonpost.es/2018/12/07/el-dardo-de-bertin-osborne-a-gabriel-rufian-y-pablo-iglesias-espana-es-el-pais-con-mas-politicos-idiotas-por-metro-cuadrado_a_23611885/?utm_hp_ref=es-homepage" TargetMode="External"/><Relationship Id="rId884" Type="http://schemas.openxmlformats.org/officeDocument/2006/relationships/hyperlink" Target="https://twitter.com/alwaysfree86/status/1070299080906211329?s=19" TargetMode="External"/><Relationship Id="rId2120" Type="http://schemas.openxmlformats.org/officeDocument/2006/relationships/hyperlink" Target="https://www.20minutos.es/noticia/3508559/0/albert-rivera-defender-nuestra-constitucion/" TargetMode="External"/><Relationship Id="rId2565" Type="http://schemas.openxmlformats.org/officeDocument/2006/relationships/hyperlink" Target="https://www.diaribalear.es/se-deben-ilegalizar-los-partidos-que-afirman-no-acatar-los-resultados-de-las-elecciones-y-llaman-a-la-violencia-callejera/" TargetMode="External"/><Relationship Id="rId2772" Type="http://schemas.openxmlformats.org/officeDocument/2006/relationships/hyperlink" Target="https://www.instagram.com/chufathepoet/" TargetMode="External"/><Relationship Id="rId537" Type="http://schemas.openxmlformats.org/officeDocument/2006/relationships/hyperlink" Target="http://mtr.cool/jjrzwky" TargetMode="External"/><Relationship Id="rId744" Type="http://schemas.openxmlformats.org/officeDocument/2006/relationships/hyperlink" Target="https://pbs.twimg.com/media/DtwHI7fWoAQmaQF.jpg" TargetMode="External"/><Relationship Id="rId951" Type="http://schemas.openxmlformats.org/officeDocument/2006/relationships/hyperlink" Target="https://www.ciudadanos-cs.org/prensa/rivera-gracias-a-nuestra-constitucion-pasamos-de-ser-enemigos-a-compatriotas/11144" TargetMode="External"/><Relationship Id="rId1167" Type="http://schemas.openxmlformats.org/officeDocument/2006/relationships/hyperlink" Target="https://pbs.twimg.com/media/DtuOTSJXQAEft_N.jpg" TargetMode="External"/><Relationship Id="rId1374" Type="http://schemas.openxmlformats.org/officeDocument/2006/relationships/hyperlink" Target="https://www.elmundo.es/espana/2018/12/05/5c07d10afc6c83de3f8b475c.html" TargetMode="External"/><Relationship Id="rId1581" Type="http://schemas.openxmlformats.org/officeDocument/2006/relationships/hyperlink" Target="http://www.europapress.es/catalunya/" TargetMode="External"/><Relationship Id="rId1679" Type="http://schemas.openxmlformats.org/officeDocument/2006/relationships/hyperlink" Target="http://dlvr.it/Qsvp84" TargetMode="External"/><Relationship Id="rId2218" Type="http://schemas.openxmlformats.org/officeDocument/2006/relationships/hyperlink" Target="http://www.ciudadanos-cs.org/" TargetMode="External"/><Relationship Id="rId2425" Type="http://schemas.openxmlformats.org/officeDocument/2006/relationships/hyperlink" Target="https://twitter.com/gimenezbarbat/status/1070001258285711360" TargetMode="External"/><Relationship Id="rId2632" Type="http://schemas.openxmlformats.org/officeDocument/2006/relationships/hyperlink" Target="https://elcuartopunto.blogspot.com.es/" TargetMode="External"/><Relationship Id="rId80" Type="http://schemas.openxmlformats.org/officeDocument/2006/relationships/hyperlink" Target="https://twitter.com/ernestoekaizer/status/1071384642719236096" TargetMode="External"/><Relationship Id="rId604" Type="http://schemas.openxmlformats.org/officeDocument/2006/relationships/hyperlink" Target="https://www.mundiario.com/seccion/galicia" TargetMode="External"/><Relationship Id="rId811" Type="http://schemas.openxmlformats.org/officeDocument/2006/relationships/hyperlink" Target="https://pbs.twimg.com/media/DtvuHXBW0AEnhFb.jpg" TargetMode="External"/><Relationship Id="rId1027" Type="http://schemas.openxmlformats.org/officeDocument/2006/relationships/hyperlink" Target="https://okdiario.com/espana/andalucia/2018/12/05/cs-amenaza-nuevas-elecciones-andalucia-porque-no-quiere-que-popular-moreno-sea-presidente-3432237/" TargetMode="External"/><Relationship Id="rId1234" Type="http://schemas.openxmlformats.org/officeDocument/2006/relationships/hyperlink" Target="https://www.lavanguardia.com/politica/20181205/453377887754/ciudadanos-albert-rivera-prioriza-pacto-pp-andalucia-irresponsable-descartar-vox-santiago-abascal.html" TargetMode="External"/><Relationship Id="rId1441" Type="http://schemas.openxmlformats.org/officeDocument/2006/relationships/hyperlink" Target="http://www.bitmomentum.com/" TargetMode="External"/><Relationship Id="rId1886" Type="http://schemas.openxmlformats.org/officeDocument/2006/relationships/hyperlink" Target="https://www.ciudadanos-cs.org/" TargetMode="External"/><Relationship Id="rId909" Type="http://schemas.openxmlformats.org/officeDocument/2006/relationships/hyperlink" Target="https://pbs.twimg.com/media/Dtp_vkxXgAEBPCR.jpg" TargetMode="External"/><Relationship Id="rId1301" Type="http://schemas.openxmlformats.org/officeDocument/2006/relationships/hyperlink" Target="http://www.alertadigital.com/2018/12/03/la-insoportable-levedad-de-albert-rivera/" TargetMode="External"/><Relationship Id="rId1539" Type="http://schemas.openxmlformats.org/officeDocument/2006/relationships/hyperlink" Target="http://www.ciudadanos-cs.org/" TargetMode="External"/><Relationship Id="rId1746" Type="http://schemas.openxmlformats.org/officeDocument/2006/relationships/hyperlink" Target="https://www.elnacional.cat/es/politica/choque-albert-rivera-manuel-valls-corresponsal-le-figaro_331953_102.html" TargetMode="External"/><Relationship Id="rId1953" Type="http://schemas.openxmlformats.org/officeDocument/2006/relationships/hyperlink" Target="https://okdiario.com/espana/andalucia/2018/12/05/rivera-dispuesto-pacto-pp-sin-descartar-vox-pero-marin-presidente-3430883/amp" TargetMode="External"/><Relationship Id="rId38" Type="http://schemas.openxmlformats.org/officeDocument/2006/relationships/hyperlink" Target="https://blogs.elconfidencial.com/espana/notebook/2018-12-08/vox-albert-rivera-pactos-andalucia-centro-europeista_1692818/?utm_campaign=BotoneraWebapp&amp;utm_source=twitter&amp;utm_medium=social" TargetMode="External"/><Relationship Id="rId1606" Type="http://schemas.openxmlformats.org/officeDocument/2006/relationships/hyperlink" Target="http://www.ciudadanos-cs.org/" TargetMode="External"/><Relationship Id="rId1813" Type="http://schemas.openxmlformats.org/officeDocument/2006/relationships/hyperlink" Target="https://elpais.com/politica/2018/12/05/actualidad/1544024987_048835.html" TargetMode="External"/><Relationship Id="rId187" Type="http://schemas.openxmlformats.org/officeDocument/2006/relationships/hyperlink" Target="https://www.elplural.com/politica/lo-nunca-contado-de-la-intima-amistad-entre-albert-rivera-y-santiago-abascal_207666102" TargetMode="External"/><Relationship Id="rId394" Type="http://schemas.openxmlformats.org/officeDocument/2006/relationships/hyperlink" Target="http://instagram.com/clinarest" TargetMode="External"/><Relationship Id="rId2075" Type="http://schemas.openxmlformats.org/officeDocument/2006/relationships/hyperlink" Target="https://itunes.apple.com/es/book/gettysburg-1863/id665369445?mt=11" TargetMode="External"/><Relationship Id="rId2282" Type="http://schemas.openxmlformats.org/officeDocument/2006/relationships/hyperlink" Target="http://elatrildelorador.blogspot.com/" TargetMode="External"/><Relationship Id="rId254" Type="http://schemas.openxmlformats.org/officeDocument/2006/relationships/hyperlink" Target="https://m.facebook.com/?_rdr" TargetMode="External"/><Relationship Id="rId699" Type="http://schemas.openxmlformats.org/officeDocument/2006/relationships/hyperlink" Target="https://pbs.twimg.com/media/DtwbmM6WsAALc0b.jpg" TargetMode="External"/><Relationship Id="rId1091" Type="http://schemas.openxmlformats.org/officeDocument/2006/relationships/hyperlink" Target="http://pic.twitter.com/RZ3qAb0L56" TargetMode="External"/><Relationship Id="rId2587" Type="http://schemas.openxmlformats.org/officeDocument/2006/relationships/hyperlink" Target="https://pbs.twimg.com/media/Dtk9ST5WoAAqgv2.jpg" TargetMode="External"/><Relationship Id="rId114" Type="http://schemas.openxmlformats.org/officeDocument/2006/relationships/hyperlink" Target="https://twitter.com/josep_jorda/status/1071304118659149825" TargetMode="External"/><Relationship Id="rId461" Type="http://schemas.openxmlformats.org/officeDocument/2006/relationships/hyperlink" Target="http://www.citizengo.org/hazteoir/pc/167099-al-psoe-ni-agua-sr-rivera?tc=tw&amp;tcid=52565551" TargetMode="External"/><Relationship Id="rId559" Type="http://schemas.openxmlformats.org/officeDocument/2006/relationships/hyperlink" Target="https://es.wikipedia.org/wiki/Sienra" TargetMode="External"/><Relationship Id="rId766" Type="http://schemas.openxmlformats.org/officeDocument/2006/relationships/hyperlink" Target="http://pic.twitter.com/Qrf5zfN7q6" TargetMode="External"/><Relationship Id="rId1189" Type="http://schemas.openxmlformats.org/officeDocument/2006/relationships/hyperlink" Target="http://instagram.com/consu_gf" TargetMode="External"/><Relationship Id="rId1396" Type="http://schemas.openxmlformats.org/officeDocument/2006/relationships/hyperlink" Target="https://instagram.com/diego_lopa" TargetMode="External"/><Relationship Id="rId2142" Type="http://schemas.openxmlformats.org/officeDocument/2006/relationships/hyperlink" Target="https://youtu.be/V9YYQDqha-Q?azq69=464804527" TargetMode="External"/><Relationship Id="rId2447" Type="http://schemas.openxmlformats.org/officeDocument/2006/relationships/hyperlink" Target="http://www.gabrielrufian.cat/" TargetMode="External"/><Relationship Id="rId321" Type="http://schemas.openxmlformats.org/officeDocument/2006/relationships/hyperlink" Target="https://pbs.twimg.com/media/Dtt5wMGWwAY_YzU.jpg" TargetMode="External"/><Relationship Id="rId419" Type="http://schemas.openxmlformats.org/officeDocument/2006/relationships/hyperlink" Target="http://partidorepes.wordpress.com/" TargetMode="External"/><Relationship Id="rId626" Type="http://schemas.openxmlformats.org/officeDocument/2006/relationships/hyperlink" Target="http://pic.twitter.com/5VAnVc6Tfu" TargetMode="External"/><Relationship Id="rId973" Type="http://schemas.openxmlformats.org/officeDocument/2006/relationships/hyperlink" Target="https://pbs.twimg.com/media/Dtu65GBWwAAgt6y.jpg" TargetMode="External"/><Relationship Id="rId1049" Type="http://schemas.openxmlformats.org/officeDocument/2006/relationships/hyperlink" Target="http://www.ciudadanos-cs.org/" TargetMode="External"/><Relationship Id="rId1256" Type="http://schemas.openxmlformats.org/officeDocument/2006/relationships/hyperlink" Target="https://pbs.twimg.com/media/DttmtPIX4AAkBaZ.jpg" TargetMode="External"/><Relationship Id="rId2002" Type="http://schemas.openxmlformats.org/officeDocument/2006/relationships/hyperlink" Target="https://lahoradigital.com/noticia/17806/politica/ciudadanos-desoye-a-europa-y-no-descarta-llegar-a-acuerdos-con-vox.html" TargetMode="External"/><Relationship Id="rId2307" Type="http://schemas.openxmlformats.org/officeDocument/2006/relationships/hyperlink" Target="https://twitter.com/addaioth_/status/1069699181793697793?s=21" TargetMode="External"/><Relationship Id="rId2654" Type="http://schemas.openxmlformats.org/officeDocument/2006/relationships/hyperlink" Target="http://www.ciudadanos-cs.org/" TargetMode="External"/><Relationship Id="rId833" Type="http://schemas.openxmlformats.org/officeDocument/2006/relationships/hyperlink" Target="http://pic.twitter.com/EQ6oUaJnjy" TargetMode="External"/><Relationship Id="rId1116" Type="http://schemas.openxmlformats.org/officeDocument/2006/relationships/hyperlink" Target="https://pbs.twimg.com/media/Dtub4C1XgAACVPk.jpg" TargetMode="External"/><Relationship Id="rId1463" Type="http://schemas.openxmlformats.org/officeDocument/2006/relationships/hyperlink" Target="https://twitter.com/inesarrimadas/status/1070410382139891714?s=21" TargetMode="External"/><Relationship Id="rId1670" Type="http://schemas.openxmlformats.org/officeDocument/2006/relationships/hyperlink" Target="https://okdiario.com/espana/andalucia/2018/12/05/rivera-dispuesto-pacto-pp-sin-descartar-vox-pero-marin-presidente-3430883" TargetMode="External"/><Relationship Id="rId1768" Type="http://schemas.openxmlformats.org/officeDocument/2006/relationships/hyperlink" Target="https://www.20minutos.es/noticia/3508559/0/albert-rivera-defender-nuestra-constitucion/?utm_source=twitter.com&amp;utm_medium=socialshare&amp;utm_campaign=mobile_web" TargetMode="External"/><Relationship Id="rId2514" Type="http://schemas.openxmlformats.org/officeDocument/2006/relationships/hyperlink" Target="http://www.ciudadanos-cs.org/" TargetMode="External"/><Relationship Id="rId2721" Type="http://schemas.openxmlformats.org/officeDocument/2006/relationships/hyperlink" Target="https://pbs.twimg.com/media/Dtj_Ep3X4AAjqfg.jpg" TargetMode="External"/><Relationship Id="rId900" Type="http://schemas.openxmlformats.org/officeDocument/2006/relationships/hyperlink" Target="http://www.instagram.com/melorguez" TargetMode="External"/><Relationship Id="rId1323" Type="http://schemas.openxmlformats.org/officeDocument/2006/relationships/hyperlink" Target="https://wp.me/p26M0z-Ebc--" TargetMode="External"/><Relationship Id="rId1530" Type="http://schemas.openxmlformats.org/officeDocument/2006/relationships/hyperlink" Target="http://atukasabadalona.kingeshop.com/" TargetMode="External"/><Relationship Id="rId1628" Type="http://schemas.openxmlformats.org/officeDocument/2006/relationships/hyperlink" Target="https://pbs.twimg.com/media/DtrPIkiW4AE2Oun.jpg" TargetMode="External"/><Relationship Id="rId1975" Type="http://schemas.openxmlformats.org/officeDocument/2006/relationships/hyperlink" Target="http://ver.20m.es/paddp2" TargetMode="External"/><Relationship Id="rId1835" Type="http://schemas.openxmlformats.org/officeDocument/2006/relationships/hyperlink" Target="http://www.lextres.com/" TargetMode="External"/><Relationship Id="rId1902" Type="http://schemas.openxmlformats.org/officeDocument/2006/relationships/hyperlink" Target="http://ask.fm/GranDuquesa/answer/17215574147" TargetMode="External"/><Relationship Id="rId2097" Type="http://schemas.openxmlformats.org/officeDocument/2006/relationships/hyperlink" Target="http://csur.red/q3Rs50jRMRL" TargetMode="External"/><Relationship Id="rId276" Type="http://schemas.openxmlformats.org/officeDocument/2006/relationships/hyperlink" Target="https://twitter.com/CiudadanosCs/status/1070764460556644353" TargetMode="External"/><Relationship Id="rId483" Type="http://schemas.openxmlformats.org/officeDocument/2006/relationships/hyperlink" Target="https://youtu.be/C4hpa5dCKAo" TargetMode="External"/><Relationship Id="rId690" Type="http://schemas.openxmlformats.org/officeDocument/2006/relationships/hyperlink" Target="http://pic.twitter.com/IrI9Ye8pST" TargetMode="External"/><Relationship Id="rId2164" Type="http://schemas.openxmlformats.org/officeDocument/2006/relationships/hyperlink" Target="https://www.20minutos.es/noticia/3508559/0/albert-rivera-defender-nuestra-constitucion/" TargetMode="External"/><Relationship Id="rId2371" Type="http://schemas.openxmlformats.org/officeDocument/2006/relationships/hyperlink" Target="https://curiouscat.me/Fennyx101" TargetMode="External"/><Relationship Id="rId136" Type="http://schemas.openxmlformats.org/officeDocument/2006/relationships/hyperlink" Target="https://www.huffingtonpost.es/esther-palomera/que-diran-de-ellos-cuando-ya-no-esten_a_23611994/" TargetMode="External"/><Relationship Id="rId343" Type="http://schemas.openxmlformats.org/officeDocument/2006/relationships/hyperlink" Target="http://shr.gs/EiqgdvQ" TargetMode="External"/><Relationship Id="rId550" Type="http://schemas.openxmlformats.org/officeDocument/2006/relationships/hyperlink" Target="https://goo.gl/LgNNqq?pls71=4818229278" TargetMode="External"/><Relationship Id="rId788" Type="http://schemas.openxmlformats.org/officeDocument/2006/relationships/hyperlink" Target="https://twitter.com/Albert_Rivera/status/1070427138782826498" TargetMode="External"/><Relationship Id="rId995" Type="http://schemas.openxmlformats.org/officeDocument/2006/relationships/hyperlink" Target="https://youtu.be/C4hpa5dCKAo" TargetMode="External"/><Relationship Id="rId1180" Type="http://schemas.openxmlformats.org/officeDocument/2006/relationships/hyperlink" Target="http://www.diariocordoba.com/" TargetMode="External"/><Relationship Id="rId2024" Type="http://schemas.openxmlformats.org/officeDocument/2006/relationships/hyperlink" Target="https://pbs.twimg.com/media/Dtp7sr8W4AYEE-l.jpg" TargetMode="External"/><Relationship Id="rId2231" Type="http://schemas.openxmlformats.org/officeDocument/2006/relationships/hyperlink" Target="https://pbs.twimg.com/media/DtpLjwaW0AAIMUf.jpg" TargetMode="External"/><Relationship Id="rId2469" Type="http://schemas.openxmlformats.org/officeDocument/2006/relationships/hyperlink" Target="https://www.huffingtonpost.es/2018/12/04/el-duro-editorial-de-le-monde-que-no-gustara-ni-a-casado-ni-a-rivera-es-peligroso_a_23608193/?ncid=other_twitter_cooo9wqtham&amp;utm_campaign=share_twitter" TargetMode="External"/><Relationship Id="rId2676" Type="http://schemas.openxmlformats.org/officeDocument/2006/relationships/hyperlink" Target="https://www.facebook.com/carmelodifazioescritor/" TargetMode="External"/><Relationship Id="rId203" Type="http://schemas.openxmlformats.org/officeDocument/2006/relationships/hyperlink" Target="https://blogs.elconfidencial.com/espana/notebook/2018-12-08/vox-albert-rivera-pactos-andalucia-centro-europeista_1692818/" TargetMode="External"/><Relationship Id="rId648" Type="http://schemas.openxmlformats.org/officeDocument/2006/relationships/hyperlink" Target="https://www.elplural.com/politica/lo-nunca-contado-de-la-intima-amistad-entre-albert-rivera-y-santiago-abascal_207666102" TargetMode="External"/><Relationship Id="rId855" Type="http://schemas.openxmlformats.org/officeDocument/2006/relationships/hyperlink" Target="http://www.rne.es/" TargetMode="External"/><Relationship Id="rId1040" Type="http://schemas.openxmlformats.org/officeDocument/2006/relationships/hyperlink" Target="http://www.lacerca.com/" TargetMode="External"/><Relationship Id="rId1278" Type="http://schemas.openxmlformats.org/officeDocument/2006/relationships/hyperlink" Target="https://twitter.com/thecentenator/status/1070371737093713926" TargetMode="External"/><Relationship Id="rId1485" Type="http://schemas.openxmlformats.org/officeDocument/2006/relationships/hyperlink" Target="https://pbs.twimg.com/media/DtrmZjNWoAAI0Xe.jpg" TargetMode="External"/><Relationship Id="rId1692" Type="http://schemas.openxmlformats.org/officeDocument/2006/relationships/hyperlink" Target="http://atres.red/pvuqk4" TargetMode="External"/><Relationship Id="rId2329" Type="http://schemas.openxmlformats.org/officeDocument/2006/relationships/hyperlink" Target="https://www.elmundo.es/espana/2018/12/05/5c06f3c6fc6c83392b8b4633.html" TargetMode="External"/><Relationship Id="rId2536" Type="http://schemas.openxmlformats.org/officeDocument/2006/relationships/hyperlink" Target="http://pic.twitter.com/4QUera3O7L" TargetMode="External"/><Relationship Id="rId2743" Type="http://schemas.openxmlformats.org/officeDocument/2006/relationships/hyperlink" Target="https://www.eldiario.es/politica/Albert-Rivera-Verhofstadt-UE-Salvini_0_818918321.html" TargetMode="External"/><Relationship Id="rId410" Type="http://schemas.openxmlformats.org/officeDocument/2006/relationships/hyperlink" Target="http://pic.twitter.com/8aXam8t3Li" TargetMode="External"/><Relationship Id="rId508" Type="http://schemas.openxmlformats.org/officeDocument/2006/relationships/hyperlink" Target="http://libertadinformacion.cc/formulario-de-acceso-oposicion-y-supresion-de-datos-1/" TargetMode="External"/><Relationship Id="rId715" Type="http://schemas.openxmlformats.org/officeDocument/2006/relationships/hyperlink" Target="https://twitter.com/FonsiLoaiza/status/1070716130220797954" TargetMode="External"/><Relationship Id="rId922" Type="http://schemas.openxmlformats.org/officeDocument/2006/relationships/hyperlink" Target="http://www.citizengo.org/hazteoir/pc/167099-al-psoe-ni-agua-sr-rivera?tc=tw&amp;tcid=52558609" TargetMode="External"/><Relationship Id="rId1138" Type="http://schemas.openxmlformats.org/officeDocument/2006/relationships/hyperlink" Target="http://www.latostadora.com/Democracy" TargetMode="External"/><Relationship Id="rId1345" Type="http://schemas.openxmlformats.org/officeDocument/2006/relationships/hyperlink" Target="http://www.elnacional.cat/es/" TargetMode="External"/><Relationship Id="rId1552" Type="http://schemas.openxmlformats.org/officeDocument/2006/relationships/hyperlink" Target="http://ramblalibre.com/2018/12/05/pedro-j-ramirez-obsesionado-contra-vox-impone-sus-criterios-a-albert-rivera/" TargetMode="External"/><Relationship Id="rId1997" Type="http://schemas.openxmlformats.org/officeDocument/2006/relationships/hyperlink" Target="https://twitter.com/EstatalFamilias/status/1069955655388315649" TargetMode="External"/><Relationship Id="rId2603" Type="http://schemas.openxmlformats.org/officeDocument/2006/relationships/hyperlink" Target="http://enrique2311.wordpress.com/" TargetMode="External"/><Relationship Id="rId1205" Type="http://schemas.openxmlformats.org/officeDocument/2006/relationships/hyperlink" Target="http://www.bitmomentum.com/" TargetMode="External"/><Relationship Id="rId1857" Type="http://schemas.openxmlformats.org/officeDocument/2006/relationships/hyperlink" Target="https://elpais.com/politica/2018/12/04/actualidad/1543908109_773507.html" TargetMode="External"/><Relationship Id="rId51" Type="http://schemas.openxmlformats.org/officeDocument/2006/relationships/hyperlink" Target="http://instagram.com/fonso_rdz" TargetMode="External"/><Relationship Id="rId1412" Type="http://schemas.openxmlformats.org/officeDocument/2006/relationships/hyperlink" Target="https://twitter.com/Albert_Rivera/status/1070425503234961410" TargetMode="External"/><Relationship Id="rId1717" Type="http://schemas.openxmlformats.org/officeDocument/2006/relationships/hyperlink" Target="http://ajuntament.barcelona.cat/alcaldessa" TargetMode="External"/><Relationship Id="rId1924" Type="http://schemas.openxmlformats.org/officeDocument/2006/relationships/hyperlink" Target="https://bit.ly/2RBPsqD" TargetMode="External"/><Relationship Id="rId298" Type="http://schemas.openxmlformats.org/officeDocument/2006/relationships/hyperlink" Target="https://mailchi.mp/e831ff79b9e8/plataformaaida" TargetMode="External"/><Relationship Id="rId158" Type="http://schemas.openxmlformats.org/officeDocument/2006/relationships/hyperlink" Target="https://blogs.elconfidencial.com/espana/notebook/2018-12-08/vox-albert-rivera-pactos-andalucia-centro-europeista_1692818/" TargetMode="External"/><Relationship Id="rId2186" Type="http://schemas.openxmlformats.org/officeDocument/2006/relationships/hyperlink" Target="https://pbs.twimg.com/media/DtpaQniWoAA0d47.jpg" TargetMode="External"/><Relationship Id="rId2393" Type="http://schemas.openxmlformats.org/officeDocument/2006/relationships/hyperlink" Target="https://twitter.com/sanchezcastejon/status/1070074025131630592" TargetMode="External"/><Relationship Id="rId2698" Type="http://schemas.openxmlformats.org/officeDocument/2006/relationships/hyperlink" Target="https://pbs.twimg.com/media/DtkKyeOW4AA5Ibt.jpg" TargetMode="External"/><Relationship Id="rId365" Type="http://schemas.openxmlformats.org/officeDocument/2006/relationships/hyperlink" Target="http://www.ciudadanos-cs.org/" TargetMode="External"/><Relationship Id="rId572" Type="http://schemas.openxmlformats.org/officeDocument/2006/relationships/hyperlink" Target="https://twitter.com/VictorGonz54/status/1070783435566911488" TargetMode="External"/><Relationship Id="rId2046" Type="http://schemas.openxmlformats.org/officeDocument/2006/relationships/hyperlink" Target="http://www.noticias24horas.com/albert-rivera-solo-baraja-un-gobierno-con-el-pp-si-el-candidato-de-ciudadanos-juan-marin-preside-la-junta/" TargetMode="External"/><Relationship Id="rId2253" Type="http://schemas.openxmlformats.org/officeDocument/2006/relationships/hyperlink" Target="http://porelpaseodelvendaval.blogspot.com/" TargetMode="External"/><Relationship Id="rId2460" Type="http://schemas.openxmlformats.org/officeDocument/2006/relationships/hyperlink" Target="https://www.eldiario.es/cultura/Ciudadanos-Andalucia-Borgen-Rivera-Birgitte_0_842366178.html" TargetMode="External"/><Relationship Id="rId225" Type="http://schemas.openxmlformats.org/officeDocument/2006/relationships/hyperlink" Target="https://twitter.com/LVPibai/status/1071198142723432449" TargetMode="External"/><Relationship Id="rId432" Type="http://schemas.openxmlformats.org/officeDocument/2006/relationships/hyperlink" Target="https://www.elplural.com/politica/lo-nunca-contado-de-la-intima-amistad-entre-albert-rivera-y-santiago-abascal_207666102" TargetMode="External"/><Relationship Id="rId877" Type="http://schemas.openxmlformats.org/officeDocument/2006/relationships/hyperlink" Target="https://pbs.twimg.com/media/DtoAQsFWoAAm2y7.jpg" TargetMode="External"/><Relationship Id="rId1062" Type="http://schemas.openxmlformats.org/officeDocument/2006/relationships/hyperlink" Target="http://www.lacerca.com/" TargetMode="External"/><Relationship Id="rId2113" Type="http://schemas.openxmlformats.org/officeDocument/2006/relationships/hyperlink" Target="https://federicorelimpio.com/libros/ladridos-en-la-noche/" TargetMode="External"/><Relationship Id="rId2320" Type="http://schemas.openxmlformats.org/officeDocument/2006/relationships/hyperlink" Target="https://pbs.twimg.com/media/DtomkYaWsAAYFwC.jpg" TargetMode="External"/><Relationship Id="rId2558" Type="http://schemas.openxmlformats.org/officeDocument/2006/relationships/hyperlink" Target="https://pbs.twimg.com/media/DtgUGElWwAAd-uz.jpg" TargetMode="External"/><Relationship Id="rId2765" Type="http://schemas.openxmlformats.org/officeDocument/2006/relationships/hyperlink" Target="https://pbs.twimg.com/media/Dtjn4fyW0AAK83Y.jpg" TargetMode="External"/><Relationship Id="rId737" Type="http://schemas.openxmlformats.org/officeDocument/2006/relationships/hyperlink" Target="https://www.lavozdegalicia.es/noticia/espana/2018/12/06/rivera-abre-puerta-negociar-vox-pese-reticencias-internas/0003_201812G6P2991.htm" TargetMode="External"/><Relationship Id="rId944" Type="http://schemas.openxmlformats.org/officeDocument/2006/relationships/hyperlink" Target="http://www.aquieuropa.com/" TargetMode="External"/><Relationship Id="rId1367" Type="http://schemas.openxmlformats.org/officeDocument/2006/relationships/hyperlink" Target="http://www.telecinco.es/informativos" TargetMode="External"/><Relationship Id="rId1574" Type="http://schemas.openxmlformats.org/officeDocument/2006/relationships/hyperlink" Target="http://instagram.com/merceesco" TargetMode="External"/><Relationship Id="rId1781" Type="http://schemas.openxmlformats.org/officeDocument/2006/relationships/hyperlink" Target="https://buff.ly/2St5gvC" TargetMode="External"/><Relationship Id="rId2418" Type="http://schemas.openxmlformats.org/officeDocument/2006/relationships/hyperlink" Target="http://facebook.com/CiudadanosCiutatVella" TargetMode="External"/><Relationship Id="rId2625" Type="http://schemas.openxmlformats.org/officeDocument/2006/relationships/hyperlink" Target="https://www.facebook.com/josealberto.rodriguezarroyo.9" TargetMode="External"/><Relationship Id="rId73" Type="http://schemas.openxmlformats.org/officeDocument/2006/relationships/hyperlink" Target="https://twitter.com/Juanmi_News/status/1071386563559481345" TargetMode="External"/><Relationship Id="rId804" Type="http://schemas.openxmlformats.org/officeDocument/2006/relationships/hyperlink" Target="https://youtu.be/kkG_dWoUpyc" TargetMode="External"/><Relationship Id="rId1227" Type="http://schemas.openxmlformats.org/officeDocument/2006/relationships/hyperlink" Target="https://afectadosporlascooperativas.wordpress.com/" TargetMode="External"/><Relationship Id="rId1434" Type="http://schemas.openxmlformats.org/officeDocument/2006/relationships/hyperlink" Target="https://www.ciudadanos-cs.org/" TargetMode="External"/><Relationship Id="rId1641" Type="http://schemas.openxmlformats.org/officeDocument/2006/relationships/hyperlink" Target="https://pbs.twimg.com/media/DtrMdylW4AIkNo9.jpg" TargetMode="External"/><Relationship Id="rId1879" Type="http://schemas.openxmlformats.org/officeDocument/2006/relationships/hyperlink" Target="https://pbs.twimg.com/media/Ch8se7xWMAEYMvi.jpg" TargetMode="External"/><Relationship Id="rId1501" Type="http://schemas.openxmlformats.org/officeDocument/2006/relationships/hyperlink" Target="https://pbs.twimg.com/media/DtrkCLOWsAkN5n8.jpg" TargetMode="External"/><Relationship Id="rId1739" Type="http://schemas.openxmlformats.org/officeDocument/2006/relationships/hyperlink" Target="http://dlvr.it/Qsvg6h" TargetMode="External"/><Relationship Id="rId1946" Type="http://schemas.openxmlformats.org/officeDocument/2006/relationships/hyperlink" Target="http://ramonesmiranda.wordpress.com/" TargetMode="External"/><Relationship Id="rId1806" Type="http://schemas.openxmlformats.org/officeDocument/2006/relationships/hyperlink" Target="https://www.elmundo.es/cataluna/2018/12/05/5c07ea1bfdddffd5598b4752.html" TargetMode="External"/><Relationship Id="rId387" Type="http://schemas.openxmlformats.org/officeDocument/2006/relationships/hyperlink" Target="https://www.elplural.com/politica/lo-nunca-contado-de-la-intima-amistad-entre-albert-rivera-y-santiago-abascal_207666102" TargetMode="External"/><Relationship Id="rId594" Type="http://schemas.openxmlformats.org/officeDocument/2006/relationships/hyperlink" Target="http://www.youtube.com/user/mateomo" TargetMode="External"/><Relationship Id="rId2068" Type="http://schemas.openxmlformats.org/officeDocument/2006/relationships/hyperlink" Target="http://ver.20m.es/paddp1" TargetMode="External"/><Relationship Id="rId2275" Type="http://schemas.openxmlformats.org/officeDocument/2006/relationships/hyperlink" Target="https://pbs.twimg.com/media/Dto5yrRWwAAlOVe.jpg" TargetMode="External"/><Relationship Id="rId247" Type="http://schemas.openxmlformats.org/officeDocument/2006/relationships/hyperlink" Target="http://cadizcf.com/" TargetMode="External"/><Relationship Id="rId899" Type="http://schemas.openxmlformats.org/officeDocument/2006/relationships/hyperlink" Target="https://pbs.twimg.com/media/DtmSzMDX4AAmi-V.jpg" TargetMode="External"/><Relationship Id="rId1084" Type="http://schemas.openxmlformats.org/officeDocument/2006/relationships/hyperlink" Target="http://about.me/josemariarey2" TargetMode="External"/><Relationship Id="rId2482" Type="http://schemas.openxmlformats.org/officeDocument/2006/relationships/hyperlink" Target="http://poruncadizmejor.blogspot.com.es/" TargetMode="External"/><Relationship Id="rId2787" Type="http://schemas.openxmlformats.org/officeDocument/2006/relationships/hyperlink" Target="http://pic.twitter.com/acZslVVW7U" TargetMode="External"/><Relationship Id="rId107" Type="http://schemas.openxmlformats.org/officeDocument/2006/relationships/hyperlink" Target="http://partidorepes.wordpress.com/" TargetMode="External"/><Relationship Id="rId454" Type="http://schemas.openxmlformats.org/officeDocument/2006/relationships/hyperlink" Target="http://instagram.com/adribaar14" TargetMode="External"/><Relationship Id="rId661" Type="http://schemas.openxmlformats.org/officeDocument/2006/relationships/hyperlink" Target="https://www.elplural.com/politica/lo-nunca-contado-de-la-intima-amistad-entre-albert-rivera-y-santiago-abascal_207666102" TargetMode="External"/><Relationship Id="rId759" Type="http://schemas.openxmlformats.org/officeDocument/2006/relationships/hyperlink" Target="http://pic.twitter.com/U1p0YUSZEV" TargetMode="External"/><Relationship Id="rId966" Type="http://schemas.openxmlformats.org/officeDocument/2006/relationships/hyperlink" Target="http://dondiario.com/" TargetMode="External"/><Relationship Id="rId1291" Type="http://schemas.openxmlformats.org/officeDocument/2006/relationships/hyperlink" Target="http://pic.twitter.com/iIqtsKnp30" TargetMode="External"/><Relationship Id="rId1389" Type="http://schemas.openxmlformats.org/officeDocument/2006/relationships/hyperlink" Target="https://youtu.be/ilngxxpAR9c" TargetMode="External"/><Relationship Id="rId1596" Type="http://schemas.openxmlformats.org/officeDocument/2006/relationships/hyperlink" Target="https://twitter.com/ANC_Mossos/status/1070227133958627329" TargetMode="External"/><Relationship Id="rId2135" Type="http://schemas.openxmlformats.org/officeDocument/2006/relationships/hyperlink" Target="http://www.p.com/" TargetMode="External"/><Relationship Id="rId2342" Type="http://schemas.openxmlformats.org/officeDocument/2006/relationships/hyperlink" Target="http://blogdejuanpardo.blogspot.com/" TargetMode="External"/><Relationship Id="rId2647" Type="http://schemas.openxmlformats.org/officeDocument/2006/relationships/hyperlink" Target="http://pic.twitter.com/BWKv7228Np" TargetMode="External"/><Relationship Id="rId314" Type="http://schemas.openxmlformats.org/officeDocument/2006/relationships/hyperlink" Target="https://youtu.be/C4hpa5dCKAo" TargetMode="External"/><Relationship Id="rId521" Type="http://schemas.openxmlformats.org/officeDocument/2006/relationships/hyperlink" Target="http://hazteoir.org/" TargetMode="External"/><Relationship Id="rId619" Type="http://schemas.openxmlformats.org/officeDocument/2006/relationships/hyperlink" Target="https://www.elmundo.es/opinion/2018/06/16/5b23e08dca474195358b4672.html" TargetMode="External"/><Relationship Id="rId1151" Type="http://schemas.openxmlformats.org/officeDocument/2006/relationships/hyperlink" Target="https://twitter.com/jordi_canyas/status/1070412489207238657" TargetMode="External"/><Relationship Id="rId1249" Type="http://schemas.openxmlformats.org/officeDocument/2006/relationships/hyperlink" Target="http://www.madridconecta.com/" TargetMode="External"/><Relationship Id="rId2202" Type="http://schemas.openxmlformats.org/officeDocument/2006/relationships/hyperlink" Target="https://twitter.com/JLP11959/status/1069979459569238016" TargetMode="External"/><Relationship Id="rId95" Type="http://schemas.openxmlformats.org/officeDocument/2006/relationships/hyperlink" Target="https://www.elempresario.com/noticias/economia/2018/12/04/como_informan_los_paises_europeos_los_trabajadores_sobre_futura_pension_122311_1098.html?utm_source=twitter.com" TargetMode="External"/><Relationship Id="rId826" Type="http://schemas.openxmlformats.org/officeDocument/2006/relationships/hyperlink" Target="https://bit.ly/2B6pXGX" TargetMode="External"/><Relationship Id="rId1011" Type="http://schemas.openxmlformats.org/officeDocument/2006/relationships/hyperlink" Target="https://pbs.twimg.com/media/Dtuxqh-XcAAcoks.jpg" TargetMode="External"/><Relationship Id="rId1109" Type="http://schemas.openxmlformats.org/officeDocument/2006/relationships/hyperlink" Target="http://bicissolidarias.org/" TargetMode="External"/><Relationship Id="rId1456" Type="http://schemas.openxmlformats.org/officeDocument/2006/relationships/hyperlink" Target="https://www.facebook.com/marilen.barceloverea" TargetMode="External"/><Relationship Id="rId1663" Type="http://schemas.openxmlformats.org/officeDocument/2006/relationships/hyperlink" Target="https://pbs.twimg.com/media/DtpU7jLXgAAM44r.jpg" TargetMode="External"/><Relationship Id="rId1870" Type="http://schemas.openxmlformats.org/officeDocument/2006/relationships/hyperlink" Target="http://www.bitmomentum.com/" TargetMode="External"/><Relationship Id="rId1968" Type="http://schemas.openxmlformats.org/officeDocument/2006/relationships/hyperlink" Target="https://www.lavanguardia.com/politica/20181205/453377887754/ciudadanos-albert-rivera-prioriza-pacto-pp-andalucia-irresponsable-descartar-vox-santiago-abascal.html?utm_source=twitter_lv&amp;utm_medium=social" TargetMode="External"/><Relationship Id="rId2507" Type="http://schemas.openxmlformats.org/officeDocument/2006/relationships/hyperlink" Target="https://pbs.twimg.com/media/Dtl6kVsW4AA3avb.jpg" TargetMode="External"/><Relationship Id="rId2714" Type="http://schemas.openxmlformats.org/officeDocument/2006/relationships/hyperlink" Target="https://www.eldiario.es/_32357ce2" TargetMode="External"/><Relationship Id="rId1316" Type="http://schemas.openxmlformats.org/officeDocument/2006/relationships/hyperlink" Target="https://www.youtube.com/watch?v=RTaLCxiU6KU" TargetMode="External"/><Relationship Id="rId1523" Type="http://schemas.openxmlformats.org/officeDocument/2006/relationships/hyperlink" Target="https://www.periodistadigital.com/politica/partidos-politicos/2018/12/05/albert-rivera-ve-irresponsable-descartar-una-negociacion-con-vox-en-andalucia.shtml" TargetMode="External"/><Relationship Id="rId1730" Type="http://schemas.openxmlformats.org/officeDocument/2006/relationships/hyperlink" Target="http://www.bitmomentum.com/" TargetMode="External"/><Relationship Id="rId22" Type="http://schemas.openxmlformats.org/officeDocument/2006/relationships/hyperlink" Target="https://amp.elmundo.es/opinion/2018/12/08/5c081e04fdddff5b688b4717.html?__twitter_impression=true" TargetMode="External"/><Relationship Id="rId1828" Type="http://schemas.openxmlformats.org/officeDocument/2006/relationships/hyperlink" Target="https://okdiario.com/espana/andalucia/2018/12/05/rivera-dispuesto-pacto-pp-sin-descartar-vox-pero-marin-presidente-3430883" TargetMode="External"/><Relationship Id="rId171" Type="http://schemas.openxmlformats.org/officeDocument/2006/relationships/hyperlink" Target="https://blogs.elconfidencial.com/espana/notebook/2018-12-08/vox-albert-rivera-pactos-andalucia-centro-europeista_1692818/?utm_campaign=BotoneraWebapp&amp;utm_source=twitter&amp;utm_medium=social" TargetMode="External"/><Relationship Id="rId2297" Type="http://schemas.openxmlformats.org/officeDocument/2006/relationships/hyperlink" Target="https://pbs.twimg.com/media/Dto0hBPW4AASmgh.jpg" TargetMode="External"/><Relationship Id="rId269" Type="http://schemas.openxmlformats.org/officeDocument/2006/relationships/hyperlink" Target="http://pic.twitter.com/gYe7gGtHG5" TargetMode="External"/><Relationship Id="rId476" Type="http://schemas.openxmlformats.org/officeDocument/2006/relationships/hyperlink" Target="https://twitter.com/Albert_Rivera/status/1070318510604210176" TargetMode="External"/><Relationship Id="rId683" Type="http://schemas.openxmlformats.org/officeDocument/2006/relationships/hyperlink" Target="https://www.elplural.com/politica/lo-nunca-contado-de-la-intima-amistad-entre-albert-rivera-y-santiago-abascal_207666102" TargetMode="External"/><Relationship Id="rId890" Type="http://schemas.openxmlformats.org/officeDocument/2006/relationships/hyperlink" Target="https://rafasanchezsite.wordpress.com/" TargetMode="External"/><Relationship Id="rId2157" Type="http://schemas.openxmlformats.org/officeDocument/2006/relationships/hyperlink" Target="http://www.ciudadanos-cs.org/" TargetMode="External"/><Relationship Id="rId2364" Type="http://schemas.openxmlformats.org/officeDocument/2006/relationships/hyperlink" Target="http://www.diariodeuntranseunte.es/" TargetMode="External"/><Relationship Id="rId2571" Type="http://schemas.openxmlformats.org/officeDocument/2006/relationships/hyperlink" Target="https://pbs.twimg.com/media/DtlGfNYWwAYUZXv.png" TargetMode="External"/><Relationship Id="rId129" Type="http://schemas.openxmlformats.org/officeDocument/2006/relationships/hyperlink" Target="http://pic.twitter.com/dOBcRLab6s" TargetMode="External"/><Relationship Id="rId336" Type="http://schemas.openxmlformats.org/officeDocument/2006/relationships/hyperlink" Target="http://pic.twitter.com/iqU4J5sHIE" TargetMode="External"/><Relationship Id="rId543" Type="http://schemas.openxmlformats.org/officeDocument/2006/relationships/hyperlink" Target="https://pbs.twimg.com/media/DtzE7QJWoAMPXrv.jpg" TargetMode="External"/><Relationship Id="rId988" Type="http://schemas.openxmlformats.org/officeDocument/2006/relationships/hyperlink" Target="https://elpais.com/politica/2018/11/28/actualidad/1543422865_729627.html?id_externo_rsoc=TW_CC" TargetMode="External"/><Relationship Id="rId1173" Type="http://schemas.openxmlformats.org/officeDocument/2006/relationships/hyperlink" Target="https://pbs.twimg.com/media/DtuNeQaW4AAGUZZ.jpg" TargetMode="External"/><Relationship Id="rId1380" Type="http://schemas.openxmlformats.org/officeDocument/2006/relationships/hyperlink" Target="http://www.bitmomentum.com/" TargetMode="External"/><Relationship Id="rId2017" Type="http://schemas.openxmlformats.org/officeDocument/2006/relationships/hyperlink" Target="https://twitter.com/mugiwarasens/status/1070056571089154048" TargetMode="External"/><Relationship Id="rId2224" Type="http://schemas.openxmlformats.org/officeDocument/2006/relationships/hyperlink" Target="https://www.rac1.cat/programes/el-mon/20181204/453335051131/carta-pres-comu-lledoners-presos-independentistes-fotografia.html?utm_source=facebook&amp;utm_medium=social&amp;utm_campaign=rac1oficial" TargetMode="External"/><Relationship Id="rId2669" Type="http://schemas.openxmlformats.org/officeDocument/2006/relationships/hyperlink" Target="https://pbs.twimg.com/media/DtkY98eXgAM6aYS.jpg" TargetMode="External"/><Relationship Id="rId403" Type="http://schemas.openxmlformats.org/officeDocument/2006/relationships/hyperlink" Target="http://pic.twitter.com/5j8B8BNS3t" TargetMode="External"/><Relationship Id="rId750" Type="http://schemas.openxmlformats.org/officeDocument/2006/relationships/hyperlink" Target="https://youtu.be/TPTXhYMDu9c" TargetMode="External"/><Relationship Id="rId848" Type="http://schemas.openxmlformats.org/officeDocument/2006/relationships/hyperlink" Target="https://pbs.twimg.com/media/DtvjdkkWsAAIMb2.jpg" TargetMode="External"/><Relationship Id="rId1033" Type="http://schemas.openxmlformats.org/officeDocument/2006/relationships/hyperlink" Target="http://www.ciudadanos-cs.org/" TargetMode="External"/><Relationship Id="rId1478" Type="http://schemas.openxmlformats.org/officeDocument/2006/relationships/hyperlink" Target="http://pic.twitter.com/4EhDwSZ5SJ" TargetMode="External"/><Relationship Id="rId1685" Type="http://schemas.openxmlformats.org/officeDocument/2006/relationships/hyperlink" Target="http://elmundo.es/" TargetMode="External"/><Relationship Id="rId1892" Type="http://schemas.openxmlformats.org/officeDocument/2006/relationships/hyperlink" Target="https://www.ciudadanos-cs.org/" TargetMode="External"/><Relationship Id="rId2431" Type="http://schemas.openxmlformats.org/officeDocument/2006/relationships/hyperlink" Target="https://ift.tt/2AO6Hh6" TargetMode="External"/><Relationship Id="rId2529" Type="http://schemas.openxmlformats.org/officeDocument/2006/relationships/hyperlink" Target="https://www.facebook.com/pages/Ciudadanos-Pescados/921115804614055?fref=nf" TargetMode="External"/><Relationship Id="rId2736" Type="http://schemas.openxmlformats.org/officeDocument/2006/relationships/hyperlink" Target="http://www.lextres.com/" TargetMode="External"/><Relationship Id="rId610" Type="http://schemas.openxmlformats.org/officeDocument/2006/relationships/hyperlink" Target="https://twitter.com/albert_rivera/status/1070318510604210176" TargetMode="External"/><Relationship Id="rId708" Type="http://schemas.openxmlformats.org/officeDocument/2006/relationships/hyperlink" Target="https://www.larazon.es/espana/cuidar-nuestra-constitucion-por-albert-rivera-BP20854162" TargetMode="External"/><Relationship Id="rId915" Type="http://schemas.openxmlformats.org/officeDocument/2006/relationships/hyperlink" Target="http://fotolosal.blogspot.com/" TargetMode="External"/><Relationship Id="rId1240" Type="http://schemas.openxmlformats.org/officeDocument/2006/relationships/hyperlink" Target="https://twitter.com/trendinaliaES/timelines/1070560578584797184" TargetMode="External"/><Relationship Id="rId1338" Type="http://schemas.openxmlformats.org/officeDocument/2006/relationships/hyperlink" Target="https://pbs.twimg.com/media/DtmSzMDX4AAmi-V.jpg" TargetMode="External"/><Relationship Id="rId1545" Type="http://schemas.openxmlformats.org/officeDocument/2006/relationships/hyperlink" Target="https://www.elplural.com/politica/abascal-casado-es-la-derechita-cobarde-y-rivera-un-toro-manso_207592102" TargetMode="External"/><Relationship Id="rId1100" Type="http://schemas.openxmlformats.org/officeDocument/2006/relationships/hyperlink" Target="http://www.linkedin.com/in/carolinadiazesp" TargetMode="External"/><Relationship Id="rId1405" Type="http://schemas.openxmlformats.org/officeDocument/2006/relationships/hyperlink" Target="https://pbs.twimg.com/media/DtrZ0bGWoAAVOzH.jpg" TargetMode="External"/><Relationship Id="rId1752" Type="http://schemas.openxmlformats.org/officeDocument/2006/relationships/hyperlink" Target="http://pic.twitter.com/ilGbhIzT8F" TargetMode="External"/><Relationship Id="rId44" Type="http://schemas.openxmlformats.org/officeDocument/2006/relationships/hyperlink" Target="http://eleanor-viviendo.blogspot.com/" TargetMode="External"/><Relationship Id="rId1612" Type="http://schemas.openxmlformats.org/officeDocument/2006/relationships/hyperlink" Target="https://pbs.twimg.com/media/Dtp_vkxXgAEBPCR.jpg" TargetMode="External"/><Relationship Id="rId1917" Type="http://schemas.openxmlformats.org/officeDocument/2006/relationships/hyperlink" Target="https://www.elmundo.es/espana/2018/12/05/5c07d10afc6c83de3f8b475c.html" TargetMode="External"/><Relationship Id="rId193" Type="http://schemas.openxmlformats.org/officeDocument/2006/relationships/hyperlink" Target="http://www.citizengo.org/hazteoir/pc/167099-al-psoe-ni-agua-sr-rivera?tc=tw&amp;tcid=52579527" TargetMode="External"/><Relationship Id="rId498" Type="http://schemas.openxmlformats.org/officeDocument/2006/relationships/hyperlink" Target="http://pic.twitter.com/hSU9RqIroU" TargetMode="External"/><Relationship Id="rId2081" Type="http://schemas.openxmlformats.org/officeDocument/2006/relationships/hyperlink" Target="http://telemd.es/zwua0141741" TargetMode="External"/><Relationship Id="rId2179" Type="http://schemas.openxmlformats.org/officeDocument/2006/relationships/hyperlink" Target="https://www.elplural.com/politica/antes-de-vox-ciudadanos-ya-pacto-por-dinero-con-la-extrema-derecha_207579102" TargetMode="External"/><Relationship Id="rId260" Type="http://schemas.openxmlformats.org/officeDocument/2006/relationships/hyperlink" Target="https://twitter.com/miguel_delarosa/status/1070432739042750464" TargetMode="External"/><Relationship Id="rId2386" Type="http://schemas.openxmlformats.org/officeDocument/2006/relationships/hyperlink" Target="http://es.linkedin.com/in/jonariz/" TargetMode="External"/><Relationship Id="rId2593" Type="http://schemas.openxmlformats.org/officeDocument/2006/relationships/hyperlink" Target="https://curiouscat.me/nachogarci2005" TargetMode="External"/><Relationship Id="rId120" Type="http://schemas.openxmlformats.org/officeDocument/2006/relationships/hyperlink" Target="https://www.elespanol.com/reportajes/20181208/top-pierden-enchufismo-andaluz-juan-cobrando-junta/358965045_0.html" TargetMode="External"/><Relationship Id="rId358" Type="http://schemas.openxmlformats.org/officeDocument/2006/relationships/hyperlink" Target="https://uaeh.academia.edu/PacoJim%C3%A9nez" TargetMode="External"/><Relationship Id="rId565" Type="http://schemas.openxmlformats.org/officeDocument/2006/relationships/hyperlink" Target="https://pbs.twimg.com/media/DtyZ1rwXcAAIbfi.jpg" TargetMode="External"/><Relationship Id="rId772" Type="http://schemas.openxmlformats.org/officeDocument/2006/relationships/hyperlink" Target="https://www.ciudadanos-cs.org/" TargetMode="External"/><Relationship Id="rId1195" Type="http://schemas.openxmlformats.org/officeDocument/2006/relationships/hyperlink" Target="https://goo.gl/rCPJAe" TargetMode="External"/><Relationship Id="rId2039" Type="http://schemas.openxmlformats.org/officeDocument/2006/relationships/hyperlink" Target="http://guadalajara.ciudadanos-cs.org/" TargetMode="External"/><Relationship Id="rId2246" Type="http://schemas.openxmlformats.org/officeDocument/2006/relationships/hyperlink" Target="https://pbs.twimg.com/media/DtpIIkgUUAIabSw.jpg" TargetMode="External"/><Relationship Id="rId2453" Type="http://schemas.openxmlformats.org/officeDocument/2006/relationships/hyperlink" Target="http://agorafutura.wordpress.com/" TargetMode="External"/><Relationship Id="rId2660" Type="http://schemas.openxmlformats.org/officeDocument/2006/relationships/hyperlink" Target="https://pbs.twimg.com/media/Dtkc1unWsAIvkV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2501"/>
  <sheetViews>
    <sheetView tabSelected="1" workbookViewId="0">
      <pane ySplit="2" topLeftCell="A3" activePane="bottomLeft" state="frozen"/>
      <selection pane="bottomLeft" activeCell="D2" sqref="D1:D1048576"/>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29" t="s">
        <v>21</v>
      </c>
      <c r="B1" s="30"/>
      <c r="C1" s="30"/>
      <c r="D1" s="30"/>
      <c r="E1" s="30"/>
      <c r="F1" s="30"/>
      <c r="G1" s="30"/>
      <c r="H1" s="30"/>
      <c r="I1" s="30"/>
      <c r="J1" s="30"/>
      <c r="K1" s="30"/>
      <c r="L1" s="31" t="s">
        <v>1</v>
      </c>
      <c r="M1" s="30"/>
      <c r="N1" s="30"/>
      <c r="O1" s="30"/>
      <c r="P1" s="30"/>
      <c r="Q1" s="30"/>
      <c r="R1" s="30"/>
      <c r="S1" s="30"/>
      <c r="T1" s="30"/>
      <c r="U1" s="30"/>
    </row>
    <row r="2" spans="1:21" ht="29.25" customHeight="1">
      <c r="A2" s="1" t="s">
        <v>0</v>
      </c>
      <c r="B2" s="2" t="s">
        <v>2</v>
      </c>
      <c r="C2" s="2" t="s">
        <v>3</v>
      </c>
      <c r="D2" s="3" t="s">
        <v>4</v>
      </c>
      <c r="E2" s="4" t="s">
        <v>5</v>
      </c>
      <c r="F2" s="4" t="s">
        <v>6</v>
      </c>
      <c r="G2" s="4" t="s">
        <v>7</v>
      </c>
      <c r="H2" s="4" t="s">
        <v>8</v>
      </c>
      <c r="I2" s="2" t="s">
        <v>9</v>
      </c>
      <c r="J2" s="2" t="s">
        <v>10</v>
      </c>
      <c r="K2" s="4" t="s">
        <v>11</v>
      </c>
      <c r="L2" s="2" t="s">
        <v>12</v>
      </c>
      <c r="M2" s="2" t="s">
        <v>13</v>
      </c>
      <c r="N2" s="4" t="s">
        <v>14</v>
      </c>
      <c r="O2" s="4" t="s">
        <v>15</v>
      </c>
      <c r="P2" s="4" t="s">
        <v>16</v>
      </c>
      <c r="Q2" s="4" t="s">
        <v>8</v>
      </c>
      <c r="R2" s="5" t="s">
        <v>17</v>
      </c>
      <c r="S2" s="4" t="s">
        <v>18</v>
      </c>
      <c r="T2" s="4" t="s">
        <v>19</v>
      </c>
      <c r="U2" s="4" t="s">
        <v>20</v>
      </c>
    </row>
    <row r="3" spans="1:21" ht="30.6">
      <c r="A3" s="6">
        <v>43442.731365740736</v>
      </c>
      <c r="B3" s="7" t="str">
        <f>HYPERLINK("https://twitter.com/pol_vergara97","@pol_vergara97")</f>
        <v>@pol_vergara97</v>
      </c>
      <c r="C3" s="8" t="s">
        <v>24</v>
      </c>
      <c r="D3" s="9" t="s">
        <v>25</v>
      </c>
      <c r="E3" s="10" t="str">
        <f>HYPERLINK("https://twitter.com/pol_vergara97/status/1071442573468856321","1071442573468856321")</f>
        <v>1071442573468856321</v>
      </c>
      <c r="F3" s="12" t="s">
        <v>27</v>
      </c>
      <c r="G3" s="11"/>
      <c r="H3" s="11"/>
      <c r="I3" s="14">
        <v>0</v>
      </c>
      <c r="J3" s="14">
        <v>0</v>
      </c>
      <c r="K3" s="15" t="str">
        <f>HYPERLINK("http://twitter.com/download/iphone","Twitter for iPhone")</f>
        <v>Twitter for iPhone</v>
      </c>
      <c r="L3" s="14">
        <v>379</v>
      </c>
      <c r="M3" s="14">
        <v>275</v>
      </c>
      <c r="N3" s="14">
        <v>6</v>
      </c>
      <c r="O3" s="16"/>
      <c r="P3" s="6">
        <v>40772.095937500002</v>
      </c>
      <c r="Q3" s="12" t="s">
        <v>31</v>
      </c>
      <c r="R3" s="17" t="s">
        <v>32</v>
      </c>
      <c r="S3" s="13" t="s">
        <v>34</v>
      </c>
      <c r="T3" s="11"/>
      <c r="U3" s="10" t="str">
        <f>HYPERLINK("https://pbs.twimg.com/profile_images/1025863132860887041/YXO12s_N.jpg","View")</f>
        <v>View</v>
      </c>
    </row>
    <row r="4" spans="1:21" ht="30.6">
      <c r="A4" s="6">
        <v>43442.724675925929</v>
      </c>
      <c r="B4" s="7" t="str">
        <f>HYPERLINK("https://twitter.com/DivulgaMadrid","@DivulgaMadrid")</f>
        <v>@DivulgaMadrid</v>
      </c>
      <c r="C4" s="8" t="s">
        <v>22</v>
      </c>
      <c r="D4" s="9" t="s">
        <v>23</v>
      </c>
      <c r="E4" s="10" t="str">
        <f>HYPERLINK("https://twitter.com/DivulgaMadrid/status/1071440149500829696","1071440149500829696")</f>
        <v>1071440149500829696</v>
      </c>
      <c r="F4" s="11"/>
      <c r="G4" s="13" t="s">
        <v>28</v>
      </c>
      <c r="H4" s="11"/>
      <c r="I4" s="14">
        <v>0</v>
      </c>
      <c r="J4" s="14">
        <v>0</v>
      </c>
      <c r="K4" s="15" t="str">
        <f>HYPERLINK("http://twitter.com/download/android","Twitter for Android")</f>
        <v>Twitter for Android</v>
      </c>
      <c r="L4" s="14">
        <v>1379</v>
      </c>
      <c r="M4" s="14">
        <v>342</v>
      </c>
      <c r="N4" s="14">
        <v>61</v>
      </c>
      <c r="O4" s="16"/>
      <c r="P4" s="6">
        <v>41581.400347222225</v>
      </c>
      <c r="Q4" s="12" t="s">
        <v>29</v>
      </c>
      <c r="R4" s="17" t="s">
        <v>30</v>
      </c>
      <c r="S4" s="13" t="s">
        <v>33</v>
      </c>
      <c r="T4" s="11"/>
      <c r="U4" s="10" t="str">
        <f>HYPERLINK("https://pbs.twimg.com/profile_images/411848631256223745/grTdxWGX.jpeg","View")</f>
        <v>View</v>
      </c>
    </row>
    <row r="5" spans="1:21" ht="51">
      <c r="A5" s="6">
        <v>43442.723460648151</v>
      </c>
      <c r="B5" s="7" t="str">
        <f>HYPERLINK("https://twitter.com/REYPELAYO1","@REYPELAYO1")</f>
        <v>@REYPELAYO1</v>
      </c>
      <c r="C5" s="8" t="s">
        <v>38</v>
      </c>
      <c r="D5" s="9" t="s">
        <v>39</v>
      </c>
      <c r="E5" s="10" t="str">
        <f>HYPERLINK("https://twitter.com/REYPELAYO1/status/1071439706473291776","1071439706473291776")</f>
        <v>1071439706473291776</v>
      </c>
      <c r="F5" s="13" t="s">
        <v>40</v>
      </c>
      <c r="G5" s="11"/>
      <c r="H5" s="11"/>
      <c r="I5" s="14">
        <v>1</v>
      </c>
      <c r="J5" s="14">
        <v>0</v>
      </c>
      <c r="K5" s="15" t="str">
        <f t="shared" ref="K5:K6" si="0">HYPERLINK("http://twitter.com","Twitter Web Client")</f>
        <v>Twitter Web Client</v>
      </c>
      <c r="L5" s="14">
        <v>4006</v>
      </c>
      <c r="M5" s="14">
        <v>3962</v>
      </c>
      <c r="N5" s="14">
        <v>58</v>
      </c>
      <c r="O5" s="16"/>
      <c r="P5" s="6">
        <v>40232.451921296299</v>
      </c>
      <c r="Q5" s="12" t="s">
        <v>41</v>
      </c>
      <c r="R5" s="18"/>
      <c r="S5" s="11"/>
      <c r="T5" s="11"/>
      <c r="U5" s="10" t="str">
        <f>HYPERLINK("https://pbs.twimg.com/profile_images/692092942870192130/Ey88KUIY.png","View")</f>
        <v>View</v>
      </c>
    </row>
    <row r="6" spans="1:21" ht="20.399999999999999">
      <c r="A6" s="6">
        <v>43442.721099537041</v>
      </c>
      <c r="B6" s="7" t="str">
        <f>HYPERLINK("https://twitter.com/aguilerapan","@aguilerapan")</f>
        <v>@aguilerapan</v>
      </c>
      <c r="C6" s="8" t="s">
        <v>45</v>
      </c>
      <c r="D6" s="9" t="s">
        <v>46</v>
      </c>
      <c r="E6" s="10" t="str">
        <f>HYPERLINK("https://twitter.com/aguilerapan/status/1071438850646528001","1071438850646528001")</f>
        <v>1071438850646528001</v>
      </c>
      <c r="F6" s="13" t="s">
        <v>47</v>
      </c>
      <c r="G6" s="11"/>
      <c r="H6" s="11"/>
      <c r="I6" s="14">
        <v>0</v>
      </c>
      <c r="J6" s="14">
        <v>0</v>
      </c>
      <c r="K6" s="15" t="str">
        <f t="shared" si="0"/>
        <v>Twitter Web Client</v>
      </c>
      <c r="L6" s="14">
        <v>3998</v>
      </c>
      <c r="M6" s="14">
        <v>3314</v>
      </c>
      <c r="N6" s="14">
        <v>248</v>
      </c>
      <c r="O6" s="16"/>
      <c r="P6" s="6">
        <v>40483.73097222222</v>
      </c>
      <c r="Q6" s="12" t="s">
        <v>35</v>
      </c>
      <c r="R6" s="18"/>
      <c r="S6" s="13" t="s">
        <v>51</v>
      </c>
      <c r="T6" s="11"/>
      <c r="U6" s="10" t="str">
        <f>HYPERLINK("https://pbs.twimg.com/profile_images/1028001263282208772/QqlqL0OO.jpg","View")</f>
        <v>View</v>
      </c>
    </row>
    <row r="7" spans="1:21" ht="81.599999999999994">
      <c r="A7" s="6">
        <v>43442.716238425928</v>
      </c>
      <c r="B7" s="7" t="str">
        <f>HYPERLINK("https://twitter.com/piresfc_","@piresfc_")</f>
        <v>@piresfc_</v>
      </c>
      <c r="C7" s="8" t="s">
        <v>43</v>
      </c>
      <c r="D7" s="9" t="s">
        <v>44</v>
      </c>
      <c r="E7" s="10" t="str">
        <f>HYPERLINK("https://twitter.com/piresfc_/status/1071437090905300992","1071437090905300992")</f>
        <v>1071437090905300992</v>
      </c>
      <c r="F7" s="13" t="s">
        <v>48</v>
      </c>
      <c r="G7" s="13" t="s">
        <v>50</v>
      </c>
      <c r="H7" s="11"/>
      <c r="I7" s="14">
        <v>0</v>
      </c>
      <c r="J7" s="14">
        <v>0</v>
      </c>
      <c r="K7" s="15" t="str">
        <f>HYPERLINK("http://twitter.com/download/android","Twitter for Android")</f>
        <v>Twitter for Android</v>
      </c>
      <c r="L7" s="14">
        <v>1020</v>
      </c>
      <c r="M7" s="14">
        <v>1736</v>
      </c>
      <c r="N7" s="14">
        <v>10</v>
      </c>
      <c r="O7" s="16"/>
      <c r="P7" s="6">
        <v>41293.936909722222</v>
      </c>
      <c r="Q7" s="11"/>
      <c r="R7" s="17" t="s">
        <v>52</v>
      </c>
      <c r="S7" s="11"/>
      <c r="T7" s="11"/>
      <c r="U7" s="10" t="str">
        <f>HYPERLINK("https://pbs.twimg.com/profile_images/1060109319843311617/_AhQaf56.jpg","View")</f>
        <v>View</v>
      </c>
    </row>
    <row r="8" spans="1:21" ht="51">
      <c r="A8" s="6">
        <v>43442.714988425927</v>
      </c>
      <c r="B8" s="7" t="str">
        <f>HYPERLINK("https://twitter.com/fjmercade","@fjmercade")</f>
        <v>@fjmercade</v>
      </c>
      <c r="C8" s="8" t="s">
        <v>55</v>
      </c>
      <c r="D8" s="9" t="s">
        <v>39</v>
      </c>
      <c r="E8" s="10" t="str">
        <f>HYPERLINK("https://twitter.com/fjmercade/status/1071436638067326977","1071436638067326977")</f>
        <v>1071436638067326977</v>
      </c>
      <c r="F8" s="13" t="s">
        <v>57</v>
      </c>
      <c r="G8" s="11"/>
      <c r="H8" s="11"/>
      <c r="I8" s="14">
        <v>0</v>
      </c>
      <c r="J8" s="14">
        <v>0</v>
      </c>
      <c r="K8" s="15" t="str">
        <f>HYPERLINK("http://twitter.com","Twitter Web Client")</f>
        <v>Twitter Web Client</v>
      </c>
      <c r="L8" s="14">
        <v>113</v>
      </c>
      <c r="M8" s="14">
        <v>229</v>
      </c>
      <c r="N8" s="14">
        <v>1</v>
      </c>
      <c r="O8" s="16"/>
      <c r="P8" s="6">
        <v>41170.510057870371</v>
      </c>
      <c r="Q8" s="12" t="s">
        <v>58</v>
      </c>
      <c r="R8" s="17" t="s">
        <v>59</v>
      </c>
      <c r="S8" s="11"/>
      <c r="T8" s="11"/>
      <c r="U8" s="10" t="str">
        <f>HYPERLINK("https://pbs.twimg.com/profile_images/723112368138498049/iywMkFdb.jpg","View")</f>
        <v>View</v>
      </c>
    </row>
    <row r="9" spans="1:21" ht="102">
      <c r="A9" s="6">
        <v>43442.708414351851</v>
      </c>
      <c r="B9" s="7" t="str">
        <f>HYPERLINK("https://twitter.com/netmolina","@netmolina")</f>
        <v>@netmolina</v>
      </c>
      <c r="C9" s="8" t="s">
        <v>63</v>
      </c>
      <c r="D9" s="9" t="s">
        <v>64</v>
      </c>
      <c r="E9" s="10" t="str">
        <f>HYPERLINK("https://twitter.com/netmolina/status/1071434257304838146","1071434257304838146")</f>
        <v>1071434257304838146</v>
      </c>
      <c r="F9" s="12" t="s">
        <v>65</v>
      </c>
      <c r="G9" s="11"/>
      <c r="H9" s="11"/>
      <c r="I9" s="14">
        <v>0</v>
      </c>
      <c r="J9" s="14">
        <v>0</v>
      </c>
      <c r="K9" s="15" t="str">
        <f>HYPERLINK("http://twitter.com/download/android","Twitter for Android")</f>
        <v>Twitter for Android</v>
      </c>
      <c r="L9" s="14">
        <v>694</v>
      </c>
      <c r="M9" s="14">
        <v>1181</v>
      </c>
      <c r="N9" s="14">
        <v>5</v>
      </c>
      <c r="O9" s="16"/>
      <c r="P9" s="6">
        <v>40992.767708333333</v>
      </c>
      <c r="Q9" s="12" t="s">
        <v>66</v>
      </c>
      <c r="R9" s="17" t="s">
        <v>67</v>
      </c>
      <c r="S9" s="11"/>
      <c r="T9" s="11"/>
      <c r="U9" s="10" t="str">
        <f>HYPERLINK("https://pbs.twimg.com/profile_images/1008065331871584257/SuG_tiHX.jpg","View")</f>
        <v>View</v>
      </c>
    </row>
    <row r="10" spans="1:21" ht="40.799999999999997">
      <c r="A10" s="6">
        <v>43442.704155092593</v>
      </c>
      <c r="B10" s="7" t="str">
        <f>HYPERLINK("https://twitter.com/jaimeberenguer","@jaimeberenguer")</f>
        <v>@jaimeberenguer</v>
      </c>
      <c r="C10" s="8" t="s">
        <v>68</v>
      </c>
      <c r="D10" s="9" t="s">
        <v>69</v>
      </c>
      <c r="E10" s="10" t="str">
        <f>HYPERLINK("https://twitter.com/jaimeberenguer/status/1071432710936293377","1071432710936293377")</f>
        <v>1071432710936293377</v>
      </c>
      <c r="F10" s="11"/>
      <c r="G10" s="13" t="s">
        <v>70</v>
      </c>
      <c r="H10" s="11"/>
      <c r="I10" s="14">
        <v>3</v>
      </c>
      <c r="J10" s="14">
        <v>7</v>
      </c>
      <c r="K10" s="15" t="str">
        <f>HYPERLINK("http://twitter.com/download/iphone","Twitter for iPhone")</f>
        <v>Twitter for iPhone</v>
      </c>
      <c r="L10" s="14">
        <v>14564</v>
      </c>
      <c r="M10" s="14">
        <v>2724</v>
      </c>
      <c r="N10" s="14">
        <v>211</v>
      </c>
      <c r="O10" s="16"/>
      <c r="P10" s="6">
        <v>40040.424120370371</v>
      </c>
      <c r="Q10" s="11"/>
      <c r="R10" s="17" t="s">
        <v>73</v>
      </c>
      <c r="S10" s="11"/>
      <c r="T10" s="11"/>
      <c r="U10" s="10" t="str">
        <f>HYPERLINK("https://pbs.twimg.com/profile_images/1048222448372604936/LV72DRWb.jpg","View")</f>
        <v>View</v>
      </c>
    </row>
    <row r="11" spans="1:21" ht="20.399999999999999">
      <c r="A11" s="6">
        <v>43442.704097222224</v>
      </c>
      <c r="B11" s="7" t="str">
        <f>HYPERLINK("https://twitter.com/catle_josh","@catle_josh")</f>
        <v>@catle_josh</v>
      </c>
      <c r="C11" s="8" t="s">
        <v>75</v>
      </c>
      <c r="D11" s="9" t="s">
        <v>76</v>
      </c>
      <c r="E11" s="10" t="str">
        <f>HYPERLINK("https://twitter.com/catle_josh/status/1071432692825276417","1071432692825276417")</f>
        <v>1071432692825276417</v>
      </c>
      <c r="F11" s="13" t="s">
        <v>77</v>
      </c>
      <c r="G11" s="11"/>
      <c r="H11" s="11"/>
      <c r="I11" s="14">
        <v>0</v>
      </c>
      <c r="J11" s="14">
        <v>0</v>
      </c>
      <c r="K11" s="15" t="str">
        <f>HYPERLINK("http://twitter.com/download/android","Twitter for Android")</f>
        <v>Twitter for Android</v>
      </c>
      <c r="L11" s="14">
        <v>253</v>
      </c>
      <c r="M11" s="14">
        <v>1735</v>
      </c>
      <c r="N11" s="14">
        <v>2</v>
      </c>
      <c r="O11" s="16"/>
      <c r="P11" s="6">
        <v>43006.766666666663</v>
      </c>
      <c r="Q11" s="12" t="s">
        <v>78</v>
      </c>
      <c r="R11" s="18"/>
      <c r="S11" s="11"/>
      <c r="T11" s="11"/>
      <c r="U11" s="10" t="str">
        <f>HYPERLINK("https://pbs.twimg.com/profile_images/933276394423029760/2V6q07nU.jpg","View")</f>
        <v>View</v>
      </c>
    </row>
    <row r="12" spans="1:21" ht="40.799999999999997">
      <c r="A12" s="6">
        <v>43442.69935185185</v>
      </c>
      <c r="B12" s="7" t="str">
        <f>HYPERLINK("https://twitter.com/AdeSiracusa","@AdeSiracusa")</f>
        <v>@AdeSiracusa</v>
      </c>
      <c r="C12" s="8" t="s">
        <v>79</v>
      </c>
      <c r="D12" s="9" t="s">
        <v>80</v>
      </c>
      <c r="E12" s="10" t="str">
        <f>HYPERLINK("https://twitter.com/AdeSiracusa/status/1071430969859690498","1071430969859690498")</f>
        <v>1071430969859690498</v>
      </c>
      <c r="F12" s="13" t="s">
        <v>84</v>
      </c>
      <c r="G12" s="11"/>
      <c r="H12" s="11"/>
      <c r="I12" s="14">
        <v>0</v>
      </c>
      <c r="J12" s="14">
        <v>0</v>
      </c>
      <c r="K12" s="15" t="str">
        <f>HYPERLINK("http://www.republicosvenezuela.com/","AdeSiracusa")</f>
        <v>AdeSiracusa</v>
      </c>
      <c r="L12" s="14">
        <v>4091</v>
      </c>
      <c r="M12" s="14">
        <v>4122</v>
      </c>
      <c r="N12" s="14">
        <v>12</v>
      </c>
      <c r="O12" s="16"/>
      <c r="P12" s="6">
        <v>42958.576388888891</v>
      </c>
      <c r="Q12" s="12" t="s">
        <v>87</v>
      </c>
      <c r="R12" s="17" t="s">
        <v>88</v>
      </c>
      <c r="S12" s="11"/>
      <c r="T12" s="11"/>
      <c r="U12" s="10" t="str">
        <f>HYPERLINK("https://pbs.twimg.com/profile_images/895978354591105024/x2wNXrPl.jpg","View")</f>
        <v>View</v>
      </c>
    </row>
    <row r="13" spans="1:21" ht="91.8">
      <c r="A13" s="6">
        <v>43442.695474537039</v>
      </c>
      <c r="B13" s="7" t="str">
        <f>HYPERLINK("https://twitter.com/jmguzmanocon","@jmguzmanocon")</f>
        <v>@jmguzmanocon</v>
      </c>
      <c r="C13" s="8" t="s">
        <v>71</v>
      </c>
      <c r="D13" s="9" t="s">
        <v>72</v>
      </c>
      <c r="E13" s="10" t="str">
        <f>HYPERLINK("https://twitter.com/jmguzmanocon/status/1071429567771017217","1071429567771017217")</f>
        <v>1071429567771017217</v>
      </c>
      <c r="F13" s="12" t="s">
        <v>74</v>
      </c>
      <c r="G13" s="11"/>
      <c r="H13" s="11"/>
      <c r="I13" s="14">
        <v>0</v>
      </c>
      <c r="J13" s="14">
        <v>1</v>
      </c>
      <c r="K13" s="15" t="str">
        <f>HYPERLINK("https://mobile.twitter.com","Twitter Lite")</f>
        <v>Twitter Lite</v>
      </c>
      <c r="L13" s="14">
        <v>47</v>
      </c>
      <c r="M13" s="14">
        <v>418</v>
      </c>
      <c r="N13" s="14">
        <v>0</v>
      </c>
      <c r="O13" s="16"/>
      <c r="P13" s="6">
        <v>40881.688437500001</v>
      </c>
      <c r="Q13" s="11"/>
      <c r="R13" s="18"/>
      <c r="S13" s="11"/>
      <c r="T13" s="11"/>
      <c r="U13" s="10" t="str">
        <f>HYPERLINK("https://pbs.twimg.com/profile_images/2573244350/40rcwQjo","View")</f>
        <v>View</v>
      </c>
    </row>
    <row r="14" spans="1:21" ht="40.799999999999997">
      <c r="A14" s="6">
        <v>43442.69431712963</v>
      </c>
      <c r="B14" s="7" t="str">
        <f>HYPERLINK("https://twitter.com/JesusOrtegaE","@JesusOrtegaE")</f>
        <v>@JesusOrtegaE</v>
      </c>
      <c r="C14" s="8" t="s">
        <v>90</v>
      </c>
      <c r="D14" s="9" t="s">
        <v>91</v>
      </c>
      <c r="E14" s="10" t="str">
        <f>HYPERLINK("https://twitter.com/JesusOrtegaE/status/1071429147803688961","1071429147803688961")</f>
        <v>1071429147803688961</v>
      </c>
      <c r="F14" s="13" t="s">
        <v>94</v>
      </c>
      <c r="G14" s="11"/>
      <c r="H14" s="11"/>
      <c r="I14" s="14">
        <v>1</v>
      </c>
      <c r="J14" s="14">
        <v>2</v>
      </c>
      <c r="K14" s="15" t="str">
        <f>HYPERLINK("http://twitter.com/download/android","Twitter for Android")</f>
        <v>Twitter for Android</v>
      </c>
      <c r="L14" s="14">
        <v>1015</v>
      </c>
      <c r="M14" s="14">
        <v>906</v>
      </c>
      <c r="N14" s="14">
        <v>52</v>
      </c>
      <c r="O14" s="16"/>
      <c r="P14" s="6">
        <v>40294.814687500002</v>
      </c>
      <c r="Q14" s="11"/>
      <c r="R14" s="17" t="s">
        <v>96</v>
      </c>
      <c r="S14" s="11"/>
      <c r="T14" s="11"/>
      <c r="U14" s="10" t="str">
        <f>HYPERLINK("https://pbs.twimg.com/profile_images/686624690882895872/zGQ0_CVq.jpg","View")</f>
        <v>View</v>
      </c>
    </row>
    <row r="15" spans="1:21" ht="30.6">
      <c r="A15" s="6">
        <v>43442.691122685181</v>
      </c>
      <c r="B15" s="7" t="str">
        <f>HYPERLINK("https://twitter.com/Ramon_fg","@Ramon_fg")</f>
        <v>@Ramon_fg</v>
      </c>
      <c r="C15" s="8" t="s">
        <v>97</v>
      </c>
      <c r="D15" s="9" t="s">
        <v>98</v>
      </c>
      <c r="E15" s="10" t="str">
        <f>HYPERLINK("https://twitter.com/Ramon_fg/status/1071427991312441345","1071427991312441345")</f>
        <v>1071427991312441345</v>
      </c>
      <c r="F15" s="13" t="s">
        <v>101</v>
      </c>
      <c r="G15" s="11"/>
      <c r="H15" s="11"/>
      <c r="I15" s="14">
        <v>0</v>
      </c>
      <c r="J15" s="14">
        <v>0</v>
      </c>
      <c r="K15" s="15" t="str">
        <f>HYPERLINK("http://twitter.com/download/iphone","Twitter for iPhone")</f>
        <v>Twitter for iPhone</v>
      </c>
      <c r="L15" s="14">
        <v>231</v>
      </c>
      <c r="M15" s="14">
        <v>160</v>
      </c>
      <c r="N15" s="14">
        <v>9</v>
      </c>
      <c r="O15" s="16"/>
      <c r="P15" s="6">
        <v>40622.02915509259</v>
      </c>
      <c r="Q15" s="12" t="s">
        <v>102</v>
      </c>
      <c r="R15" s="17" t="s">
        <v>103</v>
      </c>
      <c r="S15" s="11"/>
      <c r="T15" s="11"/>
      <c r="U15" s="10" t="str">
        <f>HYPERLINK("https://pbs.twimg.com/profile_images/1279709331/Madrid_19-Diciembre-09_068__2_.JPG","View")</f>
        <v>View</v>
      </c>
    </row>
    <row r="16" spans="1:21" ht="20.399999999999999">
      <c r="A16" s="6">
        <v>43442.69017361111</v>
      </c>
      <c r="B16" s="7" t="str">
        <f>HYPERLINK("https://twitter.com/JoCastela","@JoCastela")</f>
        <v>@JoCastela</v>
      </c>
      <c r="C16" s="8" t="s">
        <v>106</v>
      </c>
      <c r="D16" s="9" t="s">
        <v>107</v>
      </c>
      <c r="E16" s="10" t="str">
        <f>HYPERLINK("https://twitter.com/JoCastela/status/1071427647484424193","1071427647484424193")</f>
        <v>1071427647484424193</v>
      </c>
      <c r="F16" s="13" t="s">
        <v>47</v>
      </c>
      <c r="G16" s="11"/>
      <c r="H16" s="11"/>
      <c r="I16" s="14">
        <v>0</v>
      </c>
      <c r="J16" s="14">
        <v>0</v>
      </c>
      <c r="K16" s="15" t="str">
        <f>HYPERLINK("http://twitter.com/download/android","Twitter for Android")</f>
        <v>Twitter for Android</v>
      </c>
      <c r="L16" s="14">
        <v>426</v>
      </c>
      <c r="M16" s="14">
        <v>1452</v>
      </c>
      <c r="N16" s="14">
        <v>7</v>
      </c>
      <c r="O16" s="16"/>
      <c r="P16" s="6">
        <v>40186.642523148148</v>
      </c>
      <c r="Q16" s="12" t="s">
        <v>110</v>
      </c>
      <c r="R16" s="17" t="s">
        <v>111</v>
      </c>
      <c r="S16" s="13" t="s">
        <v>112</v>
      </c>
      <c r="T16" s="11"/>
      <c r="U16" s="10" t="str">
        <f>HYPERLINK("https://pbs.twimg.com/profile_images/855516331655008259/hWz8fbLv.jpg","View")</f>
        <v>View</v>
      </c>
    </row>
    <row r="17" spans="1:21" ht="30.6">
      <c r="A17" s="6">
        <v>43442.689583333333</v>
      </c>
      <c r="B17" s="7" t="str">
        <f>HYPERLINK("https://twitter.com/ElHuffPost","@ElHuffPost")</f>
        <v>@ElHuffPost</v>
      </c>
      <c r="C17" s="8" t="s">
        <v>114</v>
      </c>
      <c r="D17" s="9" t="s">
        <v>115</v>
      </c>
      <c r="E17" s="10" t="str">
        <f>HYPERLINK("https://twitter.com/ElHuffPost/status/1071427431351881729","1071427431351881729")</f>
        <v>1071427431351881729</v>
      </c>
      <c r="F17" s="13" t="s">
        <v>116</v>
      </c>
      <c r="G17" s="11"/>
      <c r="H17" s="11"/>
      <c r="I17" s="14">
        <v>0</v>
      </c>
      <c r="J17" s="14">
        <v>0</v>
      </c>
      <c r="K17" s="15" t="str">
        <f>HYPERLINK("https://about.twitter.com/products/tweetdeck","TweetDeck")</f>
        <v>TweetDeck</v>
      </c>
      <c r="L17" s="14">
        <v>431182</v>
      </c>
      <c r="M17" s="14">
        <v>1551</v>
      </c>
      <c r="N17" s="14">
        <v>8205</v>
      </c>
      <c r="O17" s="19" t="s">
        <v>42</v>
      </c>
      <c r="P17" s="6">
        <v>40785.027118055557</v>
      </c>
      <c r="Q17" s="12" t="s">
        <v>119</v>
      </c>
      <c r="R17" s="17" t="s">
        <v>120</v>
      </c>
      <c r="S17" s="13" t="s">
        <v>121</v>
      </c>
      <c r="T17" s="11"/>
      <c r="U17" s="10" t="str">
        <f>HYPERLINK("https://pbs.twimg.com/profile_images/921140803422089217/ETOEUOAx.jpg","View")</f>
        <v>View</v>
      </c>
    </row>
    <row r="18" spans="1:21" ht="20.399999999999999">
      <c r="A18" s="6">
        <v>43442.688240740739</v>
      </c>
      <c r="B18" s="7" t="str">
        <f>HYPERLINK("https://twitter.com/Marzal_80","@Marzal_80")</f>
        <v>@Marzal_80</v>
      </c>
      <c r="C18" s="8" t="s">
        <v>123</v>
      </c>
      <c r="D18" s="9" t="s">
        <v>124</v>
      </c>
      <c r="E18" s="10" t="str">
        <f>HYPERLINK("https://twitter.com/Marzal_80/status/1071426945555054594","1071426945555054594")</f>
        <v>1071426945555054594</v>
      </c>
      <c r="F18" s="11"/>
      <c r="G18" s="11"/>
      <c r="H18" s="11"/>
      <c r="I18" s="14">
        <v>1</v>
      </c>
      <c r="J18" s="14">
        <v>2</v>
      </c>
      <c r="K18" s="15" t="str">
        <f t="shared" ref="K18:K19" si="1">HYPERLINK("http://twitter.com/download/iphone","Twitter for iPhone")</f>
        <v>Twitter for iPhone</v>
      </c>
      <c r="L18" s="14">
        <v>879</v>
      </c>
      <c r="M18" s="14">
        <v>106</v>
      </c>
      <c r="N18" s="14">
        <v>2</v>
      </c>
      <c r="O18" s="16"/>
      <c r="P18" s="6">
        <v>43386.657442129625</v>
      </c>
      <c r="Q18" s="12" t="s">
        <v>128</v>
      </c>
      <c r="R18" s="17" t="s">
        <v>129</v>
      </c>
      <c r="S18" s="11"/>
      <c r="T18" s="11"/>
      <c r="U18" s="10" t="str">
        <f>HYPERLINK("https://pbs.twimg.com/profile_images/1054121555272392706/p7rnmoKe.jpg","View")</f>
        <v>View</v>
      </c>
    </row>
    <row r="19" spans="1:21" ht="20.399999999999999">
      <c r="A19" s="6">
        <v>43442.678576388891</v>
      </c>
      <c r="B19" s="7" t="str">
        <f>HYPERLINK("https://twitter.com/CarmenMamelita","@CarmenMamelita")</f>
        <v>@CarmenMamelita</v>
      </c>
      <c r="C19" s="8" t="s">
        <v>130</v>
      </c>
      <c r="D19" s="9" t="s">
        <v>131</v>
      </c>
      <c r="E19" s="10" t="str">
        <f>HYPERLINK("https://twitter.com/CarmenMamelita/status/1071423442904408064","1071423442904408064")</f>
        <v>1071423442904408064</v>
      </c>
      <c r="F19" s="13" t="s">
        <v>101</v>
      </c>
      <c r="G19" s="11"/>
      <c r="H19" s="11"/>
      <c r="I19" s="14">
        <v>0</v>
      </c>
      <c r="J19" s="14">
        <v>1</v>
      </c>
      <c r="K19" s="15" t="str">
        <f t="shared" si="1"/>
        <v>Twitter for iPhone</v>
      </c>
      <c r="L19" s="14">
        <v>750</v>
      </c>
      <c r="M19" s="14">
        <v>458</v>
      </c>
      <c r="N19" s="14">
        <v>46</v>
      </c>
      <c r="O19" s="16"/>
      <c r="P19" s="6">
        <v>41442.726643518516</v>
      </c>
      <c r="Q19" s="12" t="s">
        <v>134</v>
      </c>
      <c r="R19" s="17" t="s">
        <v>135</v>
      </c>
      <c r="S19" s="11"/>
      <c r="T19" s="11"/>
      <c r="U19" s="10" t="str">
        <f>HYPERLINK("https://pbs.twimg.com/profile_images/1063898938879676417/smD1GHbq.jpg","View")</f>
        <v>View</v>
      </c>
    </row>
    <row r="20" spans="1:21" ht="112.2">
      <c r="A20" s="6">
        <v>43442.678449074076</v>
      </c>
      <c r="B20" s="7" t="str">
        <f>HYPERLINK("https://twitter.com/UriCAT84","@UriCAT84")</f>
        <v>@UriCAT84</v>
      </c>
      <c r="C20" s="8" t="s">
        <v>81</v>
      </c>
      <c r="D20" s="9" t="s">
        <v>82</v>
      </c>
      <c r="E20" s="10" t="str">
        <f>HYPERLINK("https://twitter.com/UriCAT84/status/1071423396645429248","1071423396645429248")</f>
        <v>1071423396645429248</v>
      </c>
      <c r="F20" s="13" t="s">
        <v>85</v>
      </c>
      <c r="G20" s="13" t="s">
        <v>86</v>
      </c>
      <c r="H20" s="11"/>
      <c r="I20" s="14">
        <v>0</v>
      </c>
      <c r="J20" s="14">
        <v>0</v>
      </c>
      <c r="K20" s="15" t="str">
        <f t="shared" ref="K20:K21" si="2">HYPERLINK("http://twitter.com/download/android","Twitter for Android")</f>
        <v>Twitter for Android</v>
      </c>
      <c r="L20" s="14">
        <v>1229</v>
      </c>
      <c r="M20" s="14">
        <v>2065</v>
      </c>
      <c r="N20" s="14">
        <v>0</v>
      </c>
      <c r="O20" s="16"/>
      <c r="P20" s="6">
        <v>40701.65960648148</v>
      </c>
      <c r="Q20" s="11"/>
      <c r="R20" s="18"/>
      <c r="S20" s="11"/>
      <c r="T20" s="11"/>
      <c r="U20" s="10" t="str">
        <f>HYPERLINK("https://pbs.twimg.com/profile_images/915586738516561920/C960_H5-.jpg","View")</f>
        <v>View</v>
      </c>
    </row>
    <row r="21" spans="1:21" ht="40.799999999999997">
      <c r="A21" s="6">
        <v>43442.677800925929</v>
      </c>
      <c r="B21" s="7" t="str">
        <f>HYPERLINK("https://twitter.com/perealvaro","@perealvaro")</f>
        <v>@perealvaro</v>
      </c>
      <c r="C21" s="8" t="s">
        <v>141</v>
      </c>
      <c r="D21" s="9" t="s">
        <v>142</v>
      </c>
      <c r="E21" s="10" t="str">
        <f>HYPERLINK("https://twitter.com/perealvaro/status/1071423162825494531","1071423162825494531")</f>
        <v>1071423162825494531</v>
      </c>
      <c r="F21" s="13" t="s">
        <v>144</v>
      </c>
      <c r="G21" s="11"/>
      <c r="H21" s="11"/>
      <c r="I21" s="14">
        <v>4</v>
      </c>
      <c r="J21" s="14">
        <v>6</v>
      </c>
      <c r="K21" s="15" t="str">
        <f t="shared" si="2"/>
        <v>Twitter for Android</v>
      </c>
      <c r="L21" s="14">
        <v>2151</v>
      </c>
      <c r="M21" s="14">
        <v>2523</v>
      </c>
      <c r="N21" s="14">
        <v>138</v>
      </c>
      <c r="O21" s="16"/>
      <c r="P21" s="6">
        <v>39337.044652777782</v>
      </c>
      <c r="Q21" s="12" t="s">
        <v>146</v>
      </c>
      <c r="R21" s="17" t="s">
        <v>147</v>
      </c>
      <c r="S21" s="11"/>
      <c r="T21" s="11"/>
      <c r="U21" s="10" t="str">
        <f>HYPERLINK("https://pbs.twimg.com/profile_images/1050001762764156934/sOrh62DA.jpg","View")</f>
        <v>View</v>
      </c>
    </row>
    <row r="22" spans="1:21" ht="40.799999999999997">
      <c r="A22" s="6">
        <v>43442.674849537041</v>
      </c>
      <c r="B22" s="7" t="str">
        <f>HYPERLINK("https://twitter.com/BuzoneoVox","@BuzoneoVox")</f>
        <v>@BuzoneoVox</v>
      </c>
      <c r="C22" s="8" t="s">
        <v>151</v>
      </c>
      <c r="D22" s="9" t="s">
        <v>153</v>
      </c>
      <c r="E22" s="10" t="str">
        <f>HYPERLINK("https://twitter.com/BuzoneoVox/status/1071422092204302337","1071422092204302337")</f>
        <v>1071422092204302337</v>
      </c>
      <c r="F22" s="13" t="s">
        <v>155</v>
      </c>
      <c r="G22" s="11"/>
      <c r="H22" s="11"/>
      <c r="I22" s="14">
        <v>0</v>
      </c>
      <c r="J22" s="14">
        <v>0</v>
      </c>
      <c r="K22" s="15" t="str">
        <f>HYPERLINK("http://twitter.com/download/iphone","Twitter for iPhone")</f>
        <v>Twitter for iPhone</v>
      </c>
      <c r="L22" s="14">
        <v>385</v>
      </c>
      <c r="M22" s="14">
        <v>644</v>
      </c>
      <c r="N22" s="14">
        <v>1</v>
      </c>
      <c r="O22" s="16"/>
      <c r="P22" s="6">
        <v>43260.618113425924</v>
      </c>
      <c r="Q22" s="12" t="s">
        <v>137</v>
      </c>
      <c r="R22" s="17" t="s">
        <v>158</v>
      </c>
      <c r="S22" s="11"/>
      <c r="T22" s="11"/>
      <c r="U22" s="10" t="str">
        <f>HYPERLINK("https://pbs.twimg.com/profile_images/1005460745071493122/2qz5mJBK.jpg","View")</f>
        <v>View</v>
      </c>
    </row>
    <row r="23" spans="1:21" ht="20.399999999999999">
      <c r="A23" s="6">
        <v>43442.67015046296</v>
      </c>
      <c r="B23" s="7" t="str">
        <f>HYPERLINK("https://twitter.com/A_Navalon98","@A_Navalon98")</f>
        <v>@A_Navalon98</v>
      </c>
      <c r="C23" s="8" t="s">
        <v>163</v>
      </c>
      <c r="D23" s="9" t="s">
        <v>164</v>
      </c>
      <c r="E23" s="10" t="str">
        <f>HYPERLINK("https://twitter.com/A_Navalon98/status/1071420389950136320","1071420389950136320")</f>
        <v>1071420389950136320</v>
      </c>
      <c r="F23" s="11"/>
      <c r="G23" s="11"/>
      <c r="H23" s="11"/>
      <c r="I23" s="14">
        <v>0</v>
      </c>
      <c r="J23" s="14">
        <v>0</v>
      </c>
      <c r="K23" s="15" t="str">
        <f>HYPERLINK("http://twitter.com/download/android","Twitter for Android")</f>
        <v>Twitter for Android</v>
      </c>
      <c r="L23" s="14">
        <v>339</v>
      </c>
      <c r="M23" s="14">
        <v>462</v>
      </c>
      <c r="N23" s="14">
        <v>4</v>
      </c>
      <c r="O23" s="16"/>
      <c r="P23" s="6">
        <v>41109.474699074075</v>
      </c>
      <c r="Q23" s="12" t="s">
        <v>167</v>
      </c>
      <c r="R23" s="17" t="s">
        <v>168</v>
      </c>
      <c r="S23" s="11"/>
      <c r="T23" s="11"/>
      <c r="U23" s="10" t="str">
        <f>HYPERLINK("https://pbs.twimg.com/profile_images/1055219137839095808/DAdTSbVi.jpg","View")</f>
        <v>View</v>
      </c>
    </row>
    <row r="24" spans="1:21" ht="30.6">
      <c r="A24" s="6">
        <v>43442.666238425925</v>
      </c>
      <c r="B24" s="7" t="str">
        <f>HYPERLINK("https://twitter.com/aventuraria","@aventuraria")</f>
        <v>@aventuraria</v>
      </c>
      <c r="C24" s="8" t="s">
        <v>92</v>
      </c>
      <c r="D24" s="9" t="s">
        <v>93</v>
      </c>
      <c r="E24" s="10" t="str">
        <f>HYPERLINK("https://twitter.com/aventuraria/status/1071418970736074752","1071418970736074752")</f>
        <v>1071418970736074752</v>
      </c>
      <c r="F24" s="13" t="s">
        <v>95</v>
      </c>
      <c r="G24" s="11"/>
      <c r="H24" s="11"/>
      <c r="I24" s="14">
        <v>0</v>
      </c>
      <c r="J24" s="14">
        <v>0</v>
      </c>
      <c r="K24" s="15" t="str">
        <f>HYPERLINK("http://twitter.com/download/iphone","Twitter for iPhone")</f>
        <v>Twitter for iPhone</v>
      </c>
      <c r="L24" s="14">
        <v>1220</v>
      </c>
      <c r="M24" s="14">
        <v>1080</v>
      </c>
      <c r="N24" s="14">
        <v>57</v>
      </c>
      <c r="O24" s="16"/>
      <c r="P24" s="6">
        <v>40308.43917824074</v>
      </c>
      <c r="Q24" s="12" t="s">
        <v>99</v>
      </c>
      <c r="R24" s="17" t="s">
        <v>100</v>
      </c>
      <c r="S24" s="11"/>
      <c r="T24" s="11"/>
      <c r="U24" s="10" t="str">
        <f>HYPERLINK("https://pbs.twimg.com/profile_images/2275547445/k2qkvjuufuwla55h191b.jpeg","View")</f>
        <v>View</v>
      </c>
    </row>
    <row r="25" spans="1:21" ht="40.799999999999997">
      <c r="A25" s="6">
        <v>43442.662835648152</v>
      </c>
      <c r="B25" s="7" t="str">
        <f>HYPERLINK("https://twitter.com/pabloOvO","@pabloOvO")</f>
        <v>@pabloOvO</v>
      </c>
      <c r="C25" s="8" t="s">
        <v>104</v>
      </c>
      <c r="D25" s="9" t="s">
        <v>105</v>
      </c>
      <c r="E25" s="10" t="str">
        <f>HYPERLINK("https://twitter.com/pabloOvO/status/1071417737111588865","1071417737111588865")</f>
        <v>1071417737111588865</v>
      </c>
      <c r="F25" s="13" t="s">
        <v>108</v>
      </c>
      <c r="G25" s="13" t="s">
        <v>109</v>
      </c>
      <c r="H25" s="11"/>
      <c r="I25" s="14">
        <v>0</v>
      </c>
      <c r="J25" s="14">
        <v>0</v>
      </c>
      <c r="K25" s="15" t="str">
        <f>HYPERLINK("http://twitter.com/download/android","Twitter for Android")</f>
        <v>Twitter for Android</v>
      </c>
      <c r="L25" s="14">
        <v>223</v>
      </c>
      <c r="M25" s="14">
        <v>559</v>
      </c>
      <c r="N25" s="14">
        <v>15</v>
      </c>
      <c r="O25" s="16"/>
      <c r="P25" s="6">
        <v>41070.507465277777</v>
      </c>
      <c r="Q25" s="11"/>
      <c r="R25" s="17" t="s">
        <v>113</v>
      </c>
      <c r="S25" s="11"/>
      <c r="T25" s="11"/>
      <c r="U25" s="10" t="str">
        <f>HYPERLINK("https://pbs.twimg.com/profile_images/985273906004156416/xe_2syM5.jpg","View")</f>
        <v>View</v>
      </c>
    </row>
    <row r="26" spans="1:21" ht="71.400000000000006">
      <c r="A26" s="6">
        <v>43442.660833333328</v>
      </c>
      <c r="B26" s="7" t="str">
        <f>HYPERLINK("https://twitter.com/MsHaller_","@MsHaller_")</f>
        <v>@MsHaller_</v>
      </c>
      <c r="C26" s="8" t="s">
        <v>177</v>
      </c>
      <c r="D26" s="9" t="s">
        <v>178</v>
      </c>
      <c r="E26" s="10" t="str">
        <f>HYPERLINK("https://twitter.com/MsHaller_/status/1071417013187371008","1071417013187371008")</f>
        <v>1071417013187371008</v>
      </c>
      <c r="F26" s="13" t="s">
        <v>179</v>
      </c>
      <c r="G26" s="11"/>
      <c r="H26" s="11"/>
      <c r="I26" s="14">
        <v>0</v>
      </c>
      <c r="J26" s="14">
        <v>0</v>
      </c>
      <c r="K26" s="15" t="str">
        <f t="shared" ref="K26:K27" si="3">HYPERLINK("http://twitter.com/download/iphone","Twitter for iPhone")</f>
        <v>Twitter for iPhone</v>
      </c>
      <c r="L26" s="14">
        <v>431</v>
      </c>
      <c r="M26" s="14">
        <v>366</v>
      </c>
      <c r="N26" s="14">
        <v>11</v>
      </c>
      <c r="O26" s="16"/>
      <c r="P26" s="6">
        <v>40444.570069444446</v>
      </c>
      <c r="Q26" s="12" t="s">
        <v>180</v>
      </c>
      <c r="R26" s="17" t="s">
        <v>182</v>
      </c>
      <c r="S26" s="11"/>
      <c r="T26" s="11"/>
      <c r="U26" s="10" t="str">
        <f>HYPERLINK("https://pbs.twimg.com/profile_images/1060118625024118784/QGRpmWIs.jpg","View")</f>
        <v>View</v>
      </c>
    </row>
    <row r="27" spans="1:21" ht="30.6">
      <c r="A27" s="6">
        <v>43442.659710648149</v>
      </c>
      <c r="B27" s="7" t="str">
        <f>HYPERLINK("https://twitter.com/EnriqueFcoMaldo","@EnriqueFcoMaldo")</f>
        <v>@EnriqueFcoMaldo</v>
      </c>
      <c r="C27" s="8" t="s">
        <v>117</v>
      </c>
      <c r="D27" s="9" t="s">
        <v>118</v>
      </c>
      <c r="E27" s="10" t="str">
        <f>HYPERLINK("https://twitter.com/EnriqueFcoMaldo/status/1071416605450661888","1071416605450661888")</f>
        <v>1071416605450661888</v>
      </c>
      <c r="F27" s="11"/>
      <c r="G27" s="13" t="s">
        <v>122</v>
      </c>
      <c r="H27" s="11"/>
      <c r="I27" s="14">
        <v>0</v>
      </c>
      <c r="J27" s="14">
        <v>0</v>
      </c>
      <c r="K27" s="15" t="str">
        <f t="shared" si="3"/>
        <v>Twitter for iPhone</v>
      </c>
      <c r="L27" s="14">
        <v>1273</v>
      </c>
      <c r="M27" s="14">
        <v>2318</v>
      </c>
      <c r="N27" s="14">
        <v>16</v>
      </c>
      <c r="O27" s="16"/>
      <c r="P27" s="6">
        <v>40642.61241898148</v>
      </c>
      <c r="Q27" s="12" t="s">
        <v>125</v>
      </c>
      <c r="R27" s="17" t="s">
        <v>126</v>
      </c>
      <c r="S27" s="13" t="s">
        <v>127</v>
      </c>
      <c r="T27" s="11"/>
      <c r="U27" s="10" t="str">
        <f>HYPERLINK("https://pbs.twimg.com/profile_images/1069116007938179073/cEr8eHgP.jpg","View")</f>
        <v>View</v>
      </c>
    </row>
    <row r="28" spans="1:21" ht="61.2">
      <c r="A28" s="6">
        <v>43442.659583333334</v>
      </c>
      <c r="B28" s="7" t="str">
        <f>HYPERLINK("https://twitter.com/a_dominguezs","@a_dominguezs")</f>
        <v>@a_dominguezs</v>
      </c>
      <c r="C28" s="8" t="s">
        <v>132</v>
      </c>
      <c r="D28" s="9" t="s">
        <v>133</v>
      </c>
      <c r="E28" s="10" t="str">
        <f>HYPERLINK("https://twitter.com/a_dominguezs/status/1071416561154568192","1071416561154568192")</f>
        <v>1071416561154568192</v>
      </c>
      <c r="F28" s="13" t="s">
        <v>136</v>
      </c>
      <c r="G28" s="11"/>
      <c r="H28" s="11"/>
      <c r="I28" s="14">
        <v>0</v>
      </c>
      <c r="J28" s="14">
        <v>0</v>
      </c>
      <c r="K28" s="15" t="str">
        <f>HYPERLINK("http://twitter.com/download/android","Twitter for Android")</f>
        <v>Twitter for Android</v>
      </c>
      <c r="L28" s="14">
        <v>78</v>
      </c>
      <c r="M28" s="14">
        <v>31</v>
      </c>
      <c r="N28" s="14">
        <v>6</v>
      </c>
      <c r="O28" s="16"/>
      <c r="P28" s="6">
        <v>42174.934432870374</v>
      </c>
      <c r="Q28" s="11"/>
      <c r="R28" s="17" t="s">
        <v>138</v>
      </c>
      <c r="S28" s="11"/>
      <c r="T28" s="11"/>
      <c r="U28" s="10" t="str">
        <f>HYPERLINK("https://pbs.twimg.com/profile_images/895430591671402496/pumpNq94.jpg","View")</f>
        <v>View</v>
      </c>
    </row>
    <row r="29" spans="1:21" ht="112.2">
      <c r="A29" s="6">
        <v>43442.658449074079</v>
      </c>
      <c r="B29" s="7" t="str">
        <f>HYPERLINK("https://twitter.com/Lucia90647951","@Lucia90647951")</f>
        <v>@Lucia90647951</v>
      </c>
      <c r="C29" s="8" t="s">
        <v>140</v>
      </c>
      <c r="D29" s="9" t="s">
        <v>143</v>
      </c>
      <c r="E29" s="10" t="str">
        <f>HYPERLINK("https://twitter.com/Lucia90647951/status/1071416146933547010","1071416146933547010")</f>
        <v>1071416146933547010</v>
      </c>
      <c r="F29" s="13" t="s">
        <v>145</v>
      </c>
      <c r="G29" s="11"/>
      <c r="H29" s="11"/>
      <c r="I29" s="14">
        <v>0</v>
      </c>
      <c r="J29" s="14">
        <v>0</v>
      </c>
      <c r="K29" s="15" t="str">
        <f>HYPERLINK("http://twitter.com/download/iphone","Twitter for iPhone")</f>
        <v>Twitter for iPhone</v>
      </c>
      <c r="L29" s="14">
        <v>132</v>
      </c>
      <c r="M29" s="14">
        <v>300</v>
      </c>
      <c r="N29" s="14">
        <v>0</v>
      </c>
      <c r="O29" s="16"/>
      <c r="P29" s="6">
        <v>43384.95612268518</v>
      </c>
      <c r="Q29" s="11"/>
      <c r="R29" s="17" t="s">
        <v>152</v>
      </c>
      <c r="S29" s="11"/>
      <c r="T29" s="11"/>
      <c r="U29" s="10" t="str">
        <f>HYPERLINK("https://pbs.twimg.com/profile_images/1050493441669562368/LLmfSs9m.jpg","View")</f>
        <v>View</v>
      </c>
    </row>
    <row r="30" spans="1:21" ht="30.6">
      <c r="A30" s="6">
        <v>43442.651192129633</v>
      </c>
      <c r="B30" s="7" t="str">
        <f>HYPERLINK("https://twitter.com/JuanraGciaRico","@JuanraGciaRico")</f>
        <v>@JuanraGciaRico</v>
      </c>
      <c r="C30" s="8" t="s">
        <v>159</v>
      </c>
      <c r="D30" s="9" t="s">
        <v>160</v>
      </c>
      <c r="E30" s="10" t="str">
        <f>HYPERLINK("https://twitter.com/JuanraGciaRico/status/1071413517276852225","1071413517276852225")</f>
        <v>1071413517276852225</v>
      </c>
      <c r="F30" s="13" t="s">
        <v>162</v>
      </c>
      <c r="G30" s="13" t="s">
        <v>165</v>
      </c>
      <c r="H30" s="11"/>
      <c r="I30" s="14">
        <v>0</v>
      </c>
      <c r="J30" s="14">
        <v>0</v>
      </c>
      <c r="K30" s="15" t="str">
        <f>HYPERLINK("http://twitter.com/download/android","Twitter for Android")</f>
        <v>Twitter for Android</v>
      </c>
      <c r="L30" s="14">
        <v>38</v>
      </c>
      <c r="M30" s="14">
        <v>117</v>
      </c>
      <c r="N30" s="14">
        <v>0</v>
      </c>
      <c r="O30" s="16"/>
      <c r="P30" s="6">
        <v>43158.629942129628</v>
      </c>
      <c r="Q30" s="12" t="s">
        <v>60</v>
      </c>
      <c r="R30" s="17" t="s">
        <v>166</v>
      </c>
      <c r="S30" s="11"/>
      <c r="T30" s="11"/>
      <c r="U30" s="10" t="str">
        <f>HYPERLINK("https://pbs.twimg.com/profile_images/968731010459492352/xwEhMgbl.jpg","View")</f>
        <v>View</v>
      </c>
    </row>
    <row r="31" spans="1:21" ht="20.399999999999999">
      <c r="A31" s="6">
        <v>43442.65116898148</v>
      </c>
      <c r="B31" s="7" t="str">
        <f>HYPERLINK("https://twitter.com/negativo_stats","@negativo_stats")</f>
        <v>@negativo_stats</v>
      </c>
      <c r="C31" s="8" t="s">
        <v>171</v>
      </c>
      <c r="D31" s="9" t="s">
        <v>172</v>
      </c>
      <c r="E31" s="10" t="str">
        <f>HYPERLINK("https://twitter.com/negativo_stats/status/1071413509026660352","1071413509026660352")</f>
        <v>1071413509026660352</v>
      </c>
      <c r="F31" s="11"/>
      <c r="G31" s="13" t="s">
        <v>173</v>
      </c>
      <c r="H31" s="11"/>
      <c r="I31" s="14">
        <v>0</v>
      </c>
      <c r="J31" s="14">
        <v>0</v>
      </c>
      <c r="K31" s="15" t="str">
        <f>HYPERLINK("http://kosmonautica.es","Política Negativa")</f>
        <v>Política Negativa</v>
      </c>
      <c r="L31" s="14">
        <v>268</v>
      </c>
      <c r="M31" s="14">
        <v>788</v>
      </c>
      <c r="N31" s="14">
        <v>2</v>
      </c>
      <c r="O31" s="16"/>
      <c r="P31" s="6">
        <v>42171.770601851851</v>
      </c>
      <c r="Q31" s="12" t="s">
        <v>60</v>
      </c>
      <c r="R31" s="17" t="s">
        <v>174</v>
      </c>
      <c r="S31" s="11"/>
      <c r="T31" s="11"/>
      <c r="U31" s="10" t="str">
        <f>HYPERLINK("https://pbs.twimg.com/profile_images/628553625984438272/e-VHyhP1.png","View")</f>
        <v>View</v>
      </c>
    </row>
    <row r="32" spans="1:21" ht="13.2">
      <c r="A32" s="6">
        <v>43442.649884259255</v>
      </c>
      <c r="B32" s="7" t="str">
        <f>HYPERLINK("https://twitter.com/maholboy","@maholboy")</f>
        <v>@maholboy</v>
      </c>
      <c r="C32" s="8" t="s">
        <v>193</v>
      </c>
      <c r="D32" s="9" t="s">
        <v>194</v>
      </c>
      <c r="E32" s="10" t="str">
        <f>HYPERLINK("https://twitter.com/maholboy/status/1071413044947927041","1071413044947927041")</f>
        <v>1071413044947927041</v>
      </c>
      <c r="F32" s="13" t="s">
        <v>101</v>
      </c>
      <c r="G32" s="11"/>
      <c r="H32" s="11"/>
      <c r="I32" s="14">
        <v>0</v>
      </c>
      <c r="J32" s="14">
        <v>0</v>
      </c>
      <c r="K32" s="15" t="str">
        <f t="shared" ref="K32:K34" si="4">HYPERLINK("http://twitter.com/download/android","Twitter for Android")</f>
        <v>Twitter for Android</v>
      </c>
      <c r="L32" s="14">
        <v>25</v>
      </c>
      <c r="M32" s="14">
        <v>29</v>
      </c>
      <c r="N32" s="14">
        <v>0</v>
      </c>
      <c r="O32" s="16"/>
      <c r="P32" s="6">
        <v>43239.852951388893</v>
      </c>
      <c r="Q32" s="11"/>
      <c r="R32" s="18"/>
      <c r="S32" s="11"/>
      <c r="T32" s="11"/>
      <c r="U32" s="10" t="str">
        <f>HYPERLINK("https://pbs.twimg.com/profile_images/1042705776240930816/Odtmwyz3.jpg","View")</f>
        <v>View</v>
      </c>
    </row>
    <row r="33" spans="1:21" ht="81.599999999999994">
      <c r="A33" s="6">
        <v>43442.648032407407</v>
      </c>
      <c r="B33" s="7" t="str">
        <f>HYPERLINK("https://twitter.com/rafaelwv","@rafaelwv")</f>
        <v>@rafaelwv</v>
      </c>
      <c r="C33" s="8" t="s">
        <v>175</v>
      </c>
      <c r="D33" s="9" t="s">
        <v>176</v>
      </c>
      <c r="E33" s="10" t="str">
        <f>HYPERLINK("https://twitter.com/rafaelwv/status/1071412375956402176","1071412375956402176")</f>
        <v>1071412375956402176</v>
      </c>
      <c r="F33" s="12" t="s">
        <v>65</v>
      </c>
      <c r="G33" s="11"/>
      <c r="H33" s="11"/>
      <c r="I33" s="14">
        <v>0</v>
      </c>
      <c r="J33" s="14">
        <v>1</v>
      </c>
      <c r="K33" s="15" t="str">
        <f t="shared" si="4"/>
        <v>Twitter for Android</v>
      </c>
      <c r="L33" s="14">
        <v>1125</v>
      </c>
      <c r="M33" s="14">
        <v>1136</v>
      </c>
      <c r="N33" s="14">
        <v>97</v>
      </c>
      <c r="O33" s="16"/>
      <c r="P33" s="6">
        <v>39645.825613425928</v>
      </c>
      <c r="Q33" s="12" t="s">
        <v>181</v>
      </c>
      <c r="R33" s="17" t="s">
        <v>183</v>
      </c>
      <c r="S33" s="13" t="s">
        <v>184</v>
      </c>
      <c r="T33" s="11"/>
      <c r="U33" s="10" t="str">
        <f>HYPERLINK("https://pbs.twimg.com/profile_images/1019645788748701696/aEVGfEdJ.jpg","View")</f>
        <v>View</v>
      </c>
    </row>
    <row r="34" spans="1:21" ht="30.6">
      <c r="A34" s="6">
        <v>43442.646539351852</v>
      </c>
      <c r="B34" s="7" t="str">
        <f>HYPERLINK("https://twitter.com/uby77","@uby77")</f>
        <v>@uby77</v>
      </c>
      <c r="C34" s="8" t="s">
        <v>202</v>
      </c>
      <c r="D34" s="9" t="s">
        <v>203</v>
      </c>
      <c r="E34" s="10" t="str">
        <f>HYPERLINK("https://twitter.com/uby77/status/1071411833083445249","1071411833083445249")</f>
        <v>1071411833083445249</v>
      </c>
      <c r="F34" s="13" t="s">
        <v>207</v>
      </c>
      <c r="G34" s="11"/>
      <c r="H34" s="11"/>
      <c r="I34" s="14">
        <v>0</v>
      </c>
      <c r="J34" s="14">
        <v>3</v>
      </c>
      <c r="K34" s="15" t="str">
        <f t="shared" si="4"/>
        <v>Twitter for Android</v>
      </c>
      <c r="L34" s="14">
        <v>2502</v>
      </c>
      <c r="M34" s="14">
        <v>2458</v>
      </c>
      <c r="N34" s="14">
        <v>35</v>
      </c>
      <c r="O34" s="16"/>
      <c r="P34" s="6">
        <v>40520.854143518518</v>
      </c>
      <c r="Q34" s="12" t="s">
        <v>209</v>
      </c>
      <c r="R34" s="17" t="s">
        <v>210</v>
      </c>
      <c r="S34" s="11"/>
      <c r="T34" s="11"/>
      <c r="U34" s="10" t="str">
        <f>HYPERLINK("https://pbs.twimg.com/profile_images/772800238314807296/-693ozG3.jpg","View")</f>
        <v>View</v>
      </c>
    </row>
    <row r="35" spans="1:21" ht="40.799999999999997">
      <c r="A35" s="6">
        <v>43442.646099537036</v>
      </c>
      <c r="B35" s="7" t="str">
        <f>HYPERLINK("https://twitter.com/ceroinomano","@ceroinomano")</f>
        <v>@ceroinomano</v>
      </c>
      <c r="C35" s="8" t="s">
        <v>213</v>
      </c>
      <c r="D35" s="9" t="s">
        <v>215</v>
      </c>
      <c r="E35" s="10" t="str">
        <f>HYPERLINK("https://twitter.com/ceroinomano/status/1071411675528654855","1071411675528654855")</f>
        <v>1071411675528654855</v>
      </c>
      <c r="F35" s="13" t="s">
        <v>216</v>
      </c>
      <c r="G35" s="11"/>
      <c r="H35" s="11"/>
      <c r="I35" s="14">
        <v>0</v>
      </c>
      <c r="J35" s="14">
        <v>0</v>
      </c>
      <c r="K35" s="15" t="str">
        <f t="shared" ref="K35:K36" si="5">HYPERLINK("http://twitter.com/download/iphone","Twitter for iPhone")</f>
        <v>Twitter for iPhone</v>
      </c>
      <c r="L35" s="14">
        <v>87</v>
      </c>
      <c r="M35" s="14">
        <v>311</v>
      </c>
      <c r="N35" s="14">
        <v>2</v>
      </c>
      <c r="O35" s="16"/>
      <c r="P35" s="6">
        <v>40378.415104166663</v>
      </c>
      <c r="Q35" s="12" t="s">
        <v>220</v>
      </c>
      <c r="R35" s="17" t="s">
        <v>221</v>
      </c>
      <c r="S35" s="11"/>
      <c r="T35" s="11"/>
      <c r="U35" s="10" t="str">
        <f>HYPERLINK("https://pbs.twimg.com/profile_images/659832751693152256/7bZ3msUC.jpg","View")</f>
        <v>View</v>
      </c>
    </row>
    <row r="36" spans="1:21" ht="40.799999999999997">
      <c r="A36" s="6">
        <v>43442.63753472222</v>
      </c>
      <c r="B36" s="7" t="str">
        <f>HYPERLINK("https://twitter.com/jesusmsanchez77","@jesusmsanchez77")</f>
        <v>@jesusmsanchez77</v>
      </c>
      <c r="C36" s="8" t="s">
        <v>224</v>
      </c>
      <c r="D36" s="9" t="s">
        <v>225</v>
      </c>
      <c r="E36" s="10" t="str">
        <f>HYPERLINK("https://twitter.com/jesusmsanchez77/status/1071408571793985537","1071408571793985537")</f>
        <v>1071408571793985537</v>
      </c>
      <c r="F36" s="13" t="s">
        <v>228</v>
      </c>
      <c r="G36" s="11"/>
      <c r="H36" s="11"/>
      <c r="I36" s="14">
        <v>0</v>
      </c>
      <c r="J36" s="14">
        <v>0</v>
      </c>
      <c r="K36" s="15" t="str">
        <f t="shared" si="5"/>
        <v>Twitter for iPhone</v>
      </c>
      <c r="L36" s="14">
        <v>1245</v>
      </c>
      <c r="M36" s="14">
        <v>1086</v>
      </c>
      <c r="N36" s="14">
        <v>13</v>
      </c>
      <c r="O36" s="16"/>
      <c r="P36" s="6">
        <v>40340.926192129627</v>
      </c>
      <c r="Q36" s="12" t="s">
        <v>231</v>
      </c>
      <c r="R36" s="17" t="s">
        <v>232</v>
      </c>
      <c r="S36" s="11"/>
      <c r="T36" s="11"/>
      <c r="U36" s="10" t="str">
        <f>HYPERLINK("https://pbs.twimg.com/profile_images/1071103098968518656/TMeuHsCl.jpg","View")</f>
        <v>View</v>
      </c>
    </row>
    <row r="37" spans="1:21" ht="40.799999999999997">
      <c r="A37" s="6">
        <v>43442.636666666665</v>
      </c>
      <c r="B37" s="7" t="str">
        <f>HYPERLINK("https://twitter.com/PicazoAlex93","@PicazoAlex93")</f>
        <v>@PicazoAlex93</v>
      </c>
      <c r="C37" s="8" t="s">
        <v>234</v>
      </c>
      <c r="D37" s="9" t="s">
        <v>235</v>
      </c>
      <c r="E37" s="10" t="str">
        <f>HYPERLINK("https://twitter.com/PicazoAlex93/status/1071408255023374337","1071408255023374337")</f>
        <v>1071408255023374337</v>
      </c>
      <c r="F37" s="11"/>
      <c r="G37" s="11"/>
      <c r="H37" s="11"/>
      <c r="I37" s="14">
        <v>0</v>
      </c>
      <c r="J37" s="14">
        <v>0</v>
      </c>
      <c r="K37" s="15" t="str">
        <f>HYPERLINK("http://twitter.com/#!/download/ipad","Twitter for iPad")</f>
        <v>Twitter for iPad</v>
      </c>
      <c r="L37" s="14">
        <v>777</v>
      </c>
      <c r="M37" s="14">
        <v>1249</v>
      </c>
      <c r="N37" s="14">
        <v>11</v>
      </c>
      <c r="O37" s="16"/>
      <c r="P37" s="6">
        <v>40615.552650462967</v>
      </c>
      <c r="Q37" s="12" t="s">
        <v>237</v>
      </c>
      <c r="R37" s="17" t="s">
        <v>238</v>
      </c>
      <c r="S37" s="13" t="s">
        <v>239</v>
      </c>
      <c r="T37" s="11"/>
      <c r="U37" s="10" t="str">
        <f>HYPERLINK("https://pbs.twimg.com/profile_images/990663329327796225/E8GlfzSm.jpg","View")</f>
        <v>View</v>
      </c>
    </row>
    <row r="38" spans="1:21" ht="61.2">
      <c r="A38" s="6">
        <v>43442.634398148148</v>
      </c>
      <c r="B38" s="7" t="str">
        <f>HYPERLINK("https://twitter.com/philidor38","@philidor38")</f>
        <v>@philidor38</v>
      </c>
      <c r="C38" s="8" t="s">
        <v>185</v>
      </c>
      <c r="D38" s="9" t="s">
        <v>186</v>
      </c>
      <c r="E38" s="10" t="str">
        <f>HYPERLINK("https://twitter.com/philidor38/status/1071407435179548672","1071407435179548672")</f>
        <v>1071407435179548672</v>
      </c>
      <c r="F38" s="13" t="s">
        <v>188</v>
      </c>
      <c r="G38" s="11"/>
      <c r="H38" s="11"/>
      <c r="I38" s="14">
        <v>0</v>
      </c>
      <c r="J38" s="14">
        <v>0</v>
      </c>
      <c r="K38" s="15" t="str">
        <f>HYPERLINK("http://twitter.com","Twitter Web Client")</f>
        <v>Twitter Web Client</v>
      </c>
      <c r="L38" s="14">
        <v>1041</v>
      </c>
      <c r="M38" s="14">
        <v>772</v>
      </c>
      <c r="N38" s="14">
        <v>4</v>
      </c>
      <c r="O38" s="16"/>
      <c r="P38" s="6">
        <v>41882.968900462962</v>
      </c>
      <c r="Q38" s="11"/>
      <c r="R38" s="17" t="s">
        <v>189</v>
      </c>
      <c r="S38" s="13" t="s">
        <v>190</v>
      </c>
      <c r="T38" s="11"/>
      <c r="U38" s="10" t="str">
        <f>HYPERLINK("https://pbs.twimg.com/profile_images/1061308076928745473/Pn8N4HWB.jpg","View")</f>
        <v>View</v>
      </c>
    </row>
    <row r="39" spans="1:21" ht="51">
      <c r="A39" s="6">
        <v>43442.632303240738</v>
      </c>
      <c r="B39" s="7" t="str">
        <f>HYPERLINK("https://twitter.com/Moggio3","@Moggio3")</f>
        <v>@Moggio3</v>
      </c>
      <c r="C39" s="8" t="s">
        <v>243</v>
      </c>
      <c r="D39" s="9" t="s">
        <v>244</v>
      </c>
      <c r="E39" s="10" t="str">
        <f>HYPERLINK("https://twitter.com/Moggio3/status/1071406672692813825","1071406672692813825")</f>
        <v>1071406672692813825</v>
      </c>
      <c r="F39" s="13" t="s">
        <v>245</v>
      </c>
      <c r="G39" s="11"/>
      <c r="H39" s="11"/>
      <c r="I39" s="14">
        <v>0</v>
      </c>
      <c r="J39" s="14">
        <v>1</v>
      </c>
      <c r="K39" s="15" t="str">
        <f>HYPERLINK("http://twitter.com/download/android","Twitter for Android")</f>
        <v>Twitter for Android</v>
      </c>
      <c r="L39" s="14">
        <v>1421</v>
      </c>
      <c r="M39" s="14">
        <v>1567</v>
      </c>
      <c r="N39" s="14">
        <v>18</v>
      </c>
      <c r="O39" s="16"/>
      <c r="P39" s="6">
        <v>40943.796493055554</v>
      </c>
      <c r="Q39" s="12" t="s">
        <v>137</v>
      </c>
      <c r="R39" s="17" t="s">
        <v>248</v>
      </c>
      <c r="S39" s="13" t="s">
        <v>249</v>
      </c>
      <c r="T39" s="11"/>
      <c r="U39" s="10" t="str">
        <f>HYPERLINK("https://pbs.twimg.com/profile_images/929073809772171265/y2DlCHrC.jpg","View")</f>
        <v>View</v>
      </c>
    </row>
    <row r="40" spans="1:21" ht="20.399999999999999">
      <c r="A40" s="6">
        <v>43442.631296296298</v>
      </c>
      <c r="B40" s="7" t="str">
        <f>HYPERLINK("https://twitter.com/Juuaansee15","@Juuaansee15")</f>
        <v>@Juuaansee15</v>
      </c>
      <c r="C40" s="8" t="s">
        <v>250</v>
      </c>
      <c r="D40" s="9" t="s">
        <v>251</v>
      </c>
      <c r="E40" s="10" t="str">
        <f>HYPERLINK("https://twitter.com/Juuaansee15/status/1071406308044075009","1071406308044075009")</f>
        <v>1071406308044075009</v>
      </c>
      <c r="F40" s="13" t="s">
        <v>254</v>
      </c>
      <c r="G40" s="11"/>
      <c r="H40" s="11"/>
      <c r="I40" s="14">
        <v>0</v>
      </c>
      <c r="J40" s="14">
        <v>0</v>
      </c>
      <c r="K40" s="15" t="str">
        <f t="shared" ref="K40:K41" si="6">HYPERLINK("http://twitter.com/download/iphone","Twitter for iPhone")</f>
        <v>Twitter for iPhone</v>
      </c>
      <c r="L40" s="14">
        <v>738</v>
      </c>
      <c r="M40" s="14">
        <v>578</v>
      </c>
      <c r="N40" s="14">
        <v>2</v>
      </c>
      <c r="O40" s="16"/>
      <c r="P40" s="6">
        <v>40526.47152777778</v>
      </c>
      <c r="Q40" s="12" t="s">
        <v>255</v>
      </c>
      <c r="R40" s="17" t="s">
        <v>256</v>
      </c>
      <c r="S40" s="11"/>
      <c r="T40" s="11"/>
      <c r="U40" s="10" t="str">
        <f>HYPERLINK("https://pbs.twimg.com/profile_images/797436332868038656/lmxLNVAs.jpg","View")</f>
        <v>View</v>
      </c>
    </row>
    <row r="41" spans="1:21" ht="30.6">
      <c r="A41" s="6">
        <v>43442.631122685183</v>
      </c>
      <c r="B41" s="7" t="str">
        <f>HYPERLINK("https://twitter.com/jmconejo","@jmconejo")</f>
        <v>@jmconejo</v>
      </c>
      <c r="C41" s="8" t="s">
        <v>259</v>
      </c>
      <c r="D41" s="9" t="s">
        <v>260</v>
      </c>
      <c r="E41" s="10" t="str">
        <f>HYPERLINK("https://twitter.com/jmconejo/status/1071406246404739072","1071406246404739072")</f>
        <v>1071406246404739072</v>
      </c>
      <c r="F41" s="13" t="s">
        <v>162</v>
      </c>
      <c r="G41" s="13" t="s">
        <v>165</v>
      </c>
      <c r="H41" s="11"/>
      <c r="I41" s="14">
        <v>0</v>
      </c>
      <c r="J41" s="14">
        <v>0</v>
      </c>
      <c r="K41" s="15" t="str">
        <f t="shared" si="6"/>
        <v>Twitter for iPhone</v>
      </c>
      <c r="L41" s="14">
        <v>2299</v>
      </c>
      <c r="M41" s="14">
        <v>2870</v>
      </c>
      <c r="N41" s="14">
        <v>77</v>
      </c>
      <c r="O41" s="16"/>
      <c r="P41" s="6">
        <v>40571.872662037036</v>
      </c>
      <c r="Q41" s="12" t="s">
        <v>265</v>
      </c>
      <c r="R41" s="17" t="s">
        <v>266</v>
      </c>
      <c r="S41" s="11"/>
      <c r="T41" s="11"/>
      <c r="U41" s="10" t="str">
        <f>HYPERLINK("https://pbs.twimg.com/profile_images/1068583848068427777/43FNkCwo.jpg","View")</f>
        <v>View</v>
      </c>
    </row>
    <row r="42" spans="1:21" ht="30.6">
      <c r="A42" s="6">
        <v>43442.628680555557</v>
      </c>
      <c r="B42" s="7" t="str">
        <f>HYPERLINK("https://twitter.com/JuanraGciaRico","@JuanraGciaRico")</f>
        <v>@JuanraGciaRico</v>
      </c>
      <c r="C42" s="8" t="s">
        <v>159</v>
      </c>
      <c r="D42" s="9" t="s">
        <v>191</v>
      </c>
      <c r="E42" s="10" t="str">
        <f>HYPERLINK("https://twitter.com/JuanraGciaRico/status/1071405361729556481","1071405361729556481")</f>
        <v>1071405361729556481</v>
      </c>
      <c r="F42" s="11"/>
      <c r="G42" s="11"/>
      <c r="H42" s="11"/>
      <c r="I42" s="14">
        <v>0</v>
      </c>
      <c r="J42" s="14">
        <v>0</v>
      </c>
      <c r="K42" s="15" t="str">
        <f>HYPERLINK("http://twitter.com/download/android","Twitter for Android")</f>
        <v>Twitter for Android</v>
      </c>
      <c r="L42" s="14">
        <v>38</v>
      </c>
      <c r="M42" s="14">
        <v>117</v>
      </c>
      <c r="N42" s="14">
        <v>0</v>
      </c>
      <c r="O42" s="16"/>
      <c r="P42" s="6">
        <v>43158.629942129628</v>
      </c>
      <c r="Q42" s="12" t="s">
        <v>60</v>
      </c>
      <c r="R42" s="17" t="s">
        <v>166</v>
      </c>
      <c r="S42" s="11"/>
      <c r="T42" s="11"/>
      <c r="U42" s="10" t="str">
        <f>HYPERLINK("https://pbs.twimg.com/profile_images/968731010459492352/xwEhMgbl.jpg","View")</f>
        <v>View</v>
      </c>
    </row>
    <row r="43" spans="1:21" ht="20.399999999999999">
      <c r="A43" s="6">
        <v>43442.624351851853</v>
      </c>
      <c r="B43" s="7" t="str">
        <f>HYPERLINK("https://twitter.com/violeta11377531","@violeta11377531")</f>
        <v>@violeta11377531</v>
      </c>
      <c r="C43" s="8" t="s">
        <v>270</v>
      </c>
      <c r="D43" s="9" t="s">
        <v>271</v>
      </c>
      <c r="E43" s="10" t="str">
        <f>HYPERLINK("https://twitter.com/violeta11377531/status/1071403792183279619","1071403792183279619")</f>
        <v>1071403792183279619</v>
      </c>
      <c r="F43" s="13" t="s">
        <v>245</v>
      </c>
      <c r="G43" s="11"/>
      <c r="H43" s="11"/>
      <c r="I43" s="14">
        <v>0</v>
      </c>
      <c r="J43" s="14">
        <v>0</v>
      </c>
      <c r="K43" s="15" t="str">
        <f>HYPERLINK("http://twitter.com/#!/download/ipad","Twitter for iPad")</f>
        <v>Twitter for iPad</v>
      </c>
      <c r="L43" s="14">
        <v>921</v>
      </c>
      <c r="M43" s="14">
        <v>496</v>
      </c>
      <c r="N43" s="14">
        <v>30</v>
      </c>
      <c r="O43" s="16"/>
      <c r="P43" s="6">
        <v>42276.57335648148</v>
      </c>
      <c r="Q43" s="12" t="s">
        <v>273</v>
      </c>
      <c r="R43" s="17" t="s">
        <v>274</v>
      </c>
      <c r="S43" s="11"/>
      <c r="T43" s="11"/>
      <c r="U43" s="10" t="str">
        <f>HYPERLINK("https://pbs.twimg.com/profile_images/855458573983375362/8dXtV170.jpg","View")</f>
        <v>View</v>
      </c>
    </row>
    <row r="44" spans="1:21" ht="40.799999999999997">
      <c r="A44" s="6">
        <v>43442.621666666666</v>
      </c>
      <c r="B44" s="7" t="str">
        <f>HYPERLINK("https://twitter.com/Fonso_rDz","@Fonso_rDz")</f>
        <v>@Fonso_rDz</v>
      </c>
      <c r="C44" s="8" t="s">
        <v>276</v>
      </c>
      <c r="D44" s="9" t="s">
        <v>277</v>
      </c>
      <c r="E44" s="10" t="str">
        <f>HYPERLINK("https://twitter.com/Fonso_rDz/status/1071402818320433157","1071402818320433157")</f>
        <v>1071402818320433157</v>
      </c>
      <c r="F44" s="13" t="s">
        <v>279</v>
      </c>
      <c r="G44" s="13" t="s">
        <v>280</v>
      </c>
      <c r="H44" s="11"/>
      <c r="I44" s="14">
        <v>0</v>
      </c>
      <c r="J44" s="14">
        <v>1</v>
      </c>
      <c r="K44" s="15" t="str">
        <f t="shared" ref="K44:K45" si="7">HYPERLINK("http://twitter.com/download/android","Twitter for Android")</f>
        <v>Twitter for Android</v>
      </c>
      <c r="L44" s="14">
        <v>534</v>
      </c>
      <c r="M44" s="14">
        <v>139</v>
      </c>
      <c r="N44" s="14">
        <v>7</v>
      </c>
      <c r="O44" s="16"/>
      <c r="P44" s="6">
        <v>40894.876469907409</v>
      </c>
      <c r="Q44" s="12" t="s">
        <v>281</v>
      </c>
      <c r="R44" s="17" t="s">
        <v>282</v>
      </c>
      <c r="S44" s="13" t="s">
        <v>283</v>
      </c>
      <c r="T44" s="11"/>
      <c r="U44" s="10" t="str">
        <f>HYPERLINK("https://pbs.twimg.com/profile_images/1052976809954996224/NQzHannp.jpg","View")</f>
        <v>View</v>
      </c>
    </row>
    <row r="45" spans="1:21" ht="20.399999999999999">
      <c r="A45" s="6">
        <v>43442.621342592596</v>
      </c>
      <c r="B45" s="7" t="str">
        <f>HYPERLINK("https://twitter.com/Francis98204014","@Francis98204014")</f>
        <v>@Francis98204014</v>
      </c>
      <c r="C45" s="8" t="s">
        <v>286</v>
      </c>
      <c r="D45" s="9" t="s">
        <v>287</v>
      </c>
      <c r="E45" s="10" t="str">
        <f>HYPERLINK("https://twitter.com/Francis98204014/status/1071402702775685120","1071402702775685120")</f>
        <v>1071402702775685120</v>
      </c>
      <c r="F45" s="11"/>
      <c r="G45" s="13" t="s">
        <v>290</v>
      </c>
      <c r="H45" s="11"/>
      <c r="I45" s="14">
        <v>3</v>
      </c>
      <c r="J45" s="14">
        <v>1</v>
      </c>
      <c r="K45" s="15" t="str">
        <f t="shared" si="7"/>
        <v>Twitter for Android</v>
      </c>
      <c r="L45" s="14">
        <v>5457</v>
      </c>
      <c r="M45" s="14">
        <v>5195</v>
      </c>
      <c r="N45" s="14">
        <v>79</v>
      </c>
      <c r="O45" s="16"/>
      <c r="P45" s="6">
        <v>42023.979328703703</v>
      </c>
      <c r="Q45" s="11"/>
      <c r="R45" s="18"/>
      <c r="S45" s="11"/>
      <c r="T45" s="11"/>
      <c r="U45" s="10" t="str">
        <f>HYPERLINK("https://pbs.twimg.com/profile_images/557305420625502208/DgZmRbYl.jpeg","View")</f>
        <v>View</v>
      </c>
    </row>
    <row r="46" spans="1:21" ht="40.799999999999997">
      <c r="A46" s="6">
        <v>43442.621157407411</v>
      </c>
      <c r="B46" s="7" t="str">
        <f>HYPERLINK("https://twitter.com/Jorgemugaf","@Jorgemugaf")</f>
        <v>@Jorgemugaf</v>
      </c>
      <c r="C46" s="8" t="s">
        <v>291</v>
      </c>
      <c r="D46" s="9" t="s">
        <v>292</v>
      </c>
      <c r="E46" s="10" t="str">
        <f>HYPERLINK("https://twitter.com/Jorgemugaf/status/1071402635687809024","1071402635687809024")</f>
        <v>1071402635687809024</v>
      </c>
      <c r="F46" s="11"/>
      <c r="G46" s="11"/>
      <c r="H46" s="11"/>
      <c r="I46" s="14">
        <v>0</v>
      </c>
      <c r="J46" s="14">
        <v>0</v>
      </c>
      <c r="K46" s="15" t="str">
        <f>HYPERLINK("http://twitter.com","Twitter Web Client")</f>
        <v>Twitter Web Client</v>
      </c>
      <c r="L46" s="14">
        <v>122</v>
      </c>
      <c r="M46" s="14">
        <v>209</v>
      </c>
      <c r="N46" s="14">
        <v>1</v>
      </c>
      <c r="O46" s="16"/>
      <c r="P46" s="6">
        <v>40719.790706018517</v>
      </c>
      <c r="Q46" s="12" t="s">
        <v>297</v>
      </c>
      <c r="R46" s="18"/>
      <c r="S46" s="11"/>
      <c r="T46" s="11"/>
      <c r="U46" s="10" t="str">
        <f>HYPERLINK("https://pbs.twimg.com/profile_images/1415742945/moebius2.jpg","View")</f>
        <v>View</v>
      </c>
    </row>
    <row r="47" spans="1:21" ht="30.6">
      <c r="A47" s="6">
        <v>43442.615300925929</v>
      </c>
      <c r="B47" s="7" t="str">
        <f>HYPERLINK("https://twitter.com/IMalexandergrau","@IMalexandergrau")</f>
        <v>@IMalexandergrau</v>
      </c>
      <c r="C47" s="8" t="s">
        <v>195</v>
      </c>
      <c r="D47" s="9" t="s">
        <v>196</v>
      </c>
      <c r="E47" s="10" t="str">
        <f>HYPERLINK("https://twitter.com/IMalexandergrau/status/1071400512145240064","1071400512145240064")</f>
        <v>1071400512145240064</v>
      </c>
      <c r="F47" s="11"/>
      <c r="G47" s="11"/>
      <c r="H47" s="11"/>
      <c r="I47" s="14">
        <v>0</v>
      </c>
      <c r="J47" s="14">
        <v>0</v>
      </c>
      <c r="K47" s="15" t="str">
        <f>HYPERLINK("http://twitter.com/download/android","Twitter for Android")</f>
        <v>Twitter for Android</v>
      </c>
      <c r="L47" s="14">
        <v>281</v>
      </c>
      <c r="M47" s="14">
        <v>254</v>
      </c>
      <c r="N47" s="14">
        <v>4</v>
      </c>
      <c r="O47" s="16"/>
      <c r="P47" s="6">
        <v>40085.883506944447</v>
      </c>
      <c r="Q47" s="12" t="s">
        <v>197</v>
      </c>
      <c r="R47" s="18"/>
      <c r="S47" s="13" t="s">
        <v>198</v>
      </c>
      <c r="T47" s="11"/>
      <c r="U47" s="10" t="str">
        <f>HYPERLINK("https://pbs.twimg.com/profile_images/480681661890564096/6BhnSi7W.jpeg","View")</f>
        <v>View</v>
      </c>
    </row>
    <row r="48" spans="1:21" ht="40.799999999999997">
      <c r="A48" s="6">
        <v>43442.614583333328</v>
      </c>
      <c r="B48" s="7" t="str">
        <f>HYPERLINK("https://twitter.com/CABLENOTICIAS","@CABLENOTICIAS")</f>
        <v>@CABLENOTICIAS</v>
      </c>
      <c r="C48" s="8" t="s">
        <v>303</v>
      </c>
      <c r="D48" s="9" t="s">
        <v>304</v>
      </c>
      <c r="E48" s="10" t="str">
        <f>HYPERLINK("https://twitter.com/CABLENOTICIAS/status/1071400251771125760","1071400251771125760")</f>
        <v>1071400251771125760</v>
      </c>
      <c r="F48" s="13" t="s">
        <v>305</v>
      </c>
      <c r="G48" s="13" t="s">
        <v>306</v>
      </c>
      <c r="H48" s="11"/>
      <c r="I48" s="14">
        <v>2</v>
      </c>
      <c r="J48" s="14">
        <v>2</v>
      </c>
      <c r="K48" s="15" t="str">
        <f>HYPERLINK("https://about.twitter.com/products/tweetdeck","TweetDeck")</f>
        <v>TweetDeck</v>
      </c>
      <c r="L48" s="14">
        <v>346897</v>
      </c>
      <c r="M48" s="14">
        <v>863</v>
      </c>
      <c r="N48" s="14">
        <v>1827</v>
      </c>
      <c r="O48" s="16"/>
      <c r="P48" s="6">
        <v>39989.664317129631</v>
      </c>
      <c r="Q48" s="12" t="s">
        <v>309</v>
      </c>
      <c r="R48" s="17" t="s">
        <v>310</v>
      </c>
      <c r="S48" s="13" t="s">
        <v>311</v>
      </c>
      <c r="T48" s="11"/>
      <c r="U48" s="10" t="str">
        <f>HYPERLINK("https://pbs.twimg.com/profile_images/1053486136331587584/FMZ1Den4.jpg","View")</f>
        <v>View</v>
      </c>
    </row>
    <row r="49" spans="1:21" ht="30.6">
      <c r="A49" s="6">
        <v>43442.612905092596</v>
      </c>
      <c r="B49" s="7" t="str">
        <f>HYPERLINK("https://twitter.com/ANTPODEMOS","@ANTPODEMOS")</f>
        <v>@ANTPODEMOS</v>
      </c>
      <c r="C49" s="8" t="s">
        <v>312</v>
      </c>
      <c r="D49" s="9" t="s">
        <v>313</v>
      </c>
      <c r="E49" s="10" t="str">
        <f>HYPERLINK("https://twitter.com/ANTPODEMOS/status/1071399643441971200","1071399643441971200")</f>
        <v>1071399643441971200</v>
      </c>
      <c r="F49" s="13" t="s">
        <v>47</v>
      </c>
      <c r="G49" s="11"/>
      <c r="H49" s="11"/>
      <c r="I49" s="14">
        <v>1</v>
      </c>
      <c r="J49" s="14">
        <v>0</v>
      </c>
      <c r="K49" s="15" t="str">
        <f>HYPERLINK("http://www.facebook.com/twitter","Facebook")</f>
        <v>Facebook</v>
      </c>
      <c r="L49" s="14">
        <v>5584</v>
      </c>
      <c r="M49" s="14">
        <v>426</v>
      </c>
      <c r="N49" s="14">
        <v>58</v>
      </c>
      <c r="O49" s="16"/>
      <c r="P49" s="6">
        <v>41956.204837962963</v>
      </c>
      <c r="Q49" s="12" t="s">
        <v>137</v>
      </c>
      <c r="R49" s="17" t="s">
        <v>318</v>
      </c>
      <c r="S49" s="13" t="s">
        <v>319</v>
      </c>
      <c r="T49" s="11"/>
      <c r="U49" s="10" t="str">
        <f>HYPERLINK("https://pbs.twimg.com/profile_images/952681544224854017/rVAhotfW.jpg","View")</f>
        <v>View</v>
      </c>
    </row>
    <row r="50" spans="1:21" ht="40.799999999999997">
      <c r="A50" s="6">
        <v>43442.612870370373</v>
      </c>
      <c r="B50" s="7" t="str">
        <f>HYPERLINK("https://twitter.com/SantanaYeray","@SantanaYeray")</f>
        <v>@SantanaYeray</v>
      </c>
      <c r="C50" s="8" t="s">
        <v>200</v>
      </c>
      <c r="D50" s="9" t="s">
        <v>201</v>
      </c>
      <c r="E50" s="10" t="str">
        <f>HYPERLINK("https://twitter.com/SantanaYeray/status/1071399630041202689","1071399630041202689")</f>
        <v>1071399630041202689</v>
      </c>
      <c r="F50" s="11"/>
      <c r="G50" s="11"/>
      <c r="H50" s="11"/>
      <c r="I50" s="14">
        <v>0</v>
      </c>
      <c r="J50" s="14">
        <v>2</v>
      </c>
      <c r="K50" s="15" t="str">
        <f t="shared" ref="K50:K52" si="8">HYPERLINK("http://twitter.com/download/android","Twitter for Android")</f>
        <v>Twitter for Android</v>
      </c>
      <c r="L50" s="14">
        <v>1725</v>
      </c>
      <c r="M50" s="14">
        <v>864</v>
      </c>
      <c r="N50" s="14">
        <v>93</v>
      </c>
      <c r="O50" s="16"/>
      <c r="P50" s="6">
        <v>40766.006203703706</v>
      </c>
      <c r="Q50" s="12" t="s">
        <v>204</v>
      </c>
      <c r="R50" s="17" t="s">
        <v>205</v>
      </c>
      <c r="S50" s="11"/>
      <c r="T50" s="11"/>
      <c r="U50" s="10" t="str">
        <f>HYPERLINK("https://pbs.twimg.com/profile_images/1052842278514028544/yvKtKwGn.jpg","View")</f>
        <v>View</v>
      </c>
    </row>
    <row r="51" spans="1:21" ht="71.400000000000006">
      <c r="A51" s="6">
        <v>43442.612858796296</v>
      </c>
      <c r="B51" s="7" t="str">
        <f>HYPERLINK("https://twitter.com/quesosinmarca","@quesosinmarca")</f>
        <v>@quesosinmarca</v>
      </c>
      <c r="C51" s="8" t="s">
        <v>211</v>
      </c>
      <c r="D51" s="9" t="s">
        <v>212</v>
      </c>
      <c r="E51" s="10" t="str">
        <f>HYPERLINK("https://twitter.com/quesosinmarca/status/1071399625536520192","1071399625536520192")</f>
        <v>1071399625536520192</v>
      </c>
      <c r="F51" s="12" t="s">
        <v>218</v>
      </c>
      <c r="G51" s="13" t="s">
        <v>219</v>
      </c>
      <c r="H51" s="11"/>
      <c r="I51" s="14">
        <v>0</v>
      </c>
      <c r="J51" s="14">
        <v>0</v>
      </c>
      <c r="K51" s="15" t="str">
        <f t="shared" si="8"/>
        <v>Twitter for Android</v>
      </c>
      <c r="L51" s="14">
        <v>202</v>
      </c>
      <c r="M51" s="14">
        <v>201</v>
      </c>
      <c r="N51" s="14">
        <v>5</v>
      </c>
      <c r="O51" s="16"/>
      <c r="P51" s="6">
        <v>40319.740960648152</v>
      </c>
      <c r="Q51" s="12" t="s">
        <v>222</v>
      </c>
      <c r="R51" s="17" t="s">
        <v>223</v>
      </c>
      <c r="S51" s="11"/>
      <c r="T51" s="11"/>
      <c r="U51" s="10" t="str">
        <f>HYPERLINK("https://pbs.twimg.com/profile_images/845997627682508800/NQ9egjYO.jpg","View")</f>
        <v>View</v>
      </c>
    </row>
    <row r="52" spans="1:21" ht="40.799999999999997">
      <c r="A52" s="6">
        <v>43442.611990740741</v>
      </c>
      <c r="B52" s="7" t="str">
        <f>HYPERLINK("https://twitter.com/AntnioJoseTomas","@AntnioJoseTomas")</f>
        <v>@AntnioJoseTomas</v>
      </c>
      <c r="C52" s="8" t="s">
        <v>325</v>
      </c>
      <c r="D52" s="9" t="s">
        <v>326</v>
      </c>
      <c r="E52" s="10" t="str">
        <f>HYPERLINK("https://twitter.com/AntnioJoseTomas/status/1071399313404846082","1071399313404846082")</f>
        <v>1071399313404846082</v>
      </c>
      <c r="F52" s="13" t="s">
        <v>327</v>
      </c>
      <c r="G52" s="11"/>
      <c r="H52" s="11" t="str">
        <f>HYPERLINK("https://ctrlq.org/maps/address/#38.0506095,-1.2081886","Map")</f>
        <v>Map</v>
      </c>
      <c r="I52" s="14">
        <v>8</v>
      </c>
      <c r="J52" s="14">
        <v>12</v>
      </c>
      <c r="K52" s="15" t="str">
        <f t="shared" si="8"/>
        <v>Twitter for Android</v>
      </c>
      <c r="L52" s="14">
        <v>445</v>
      </c>
      <c r="M52" s="14">
        <v>299</v>
      </c>
      <c r="N52" s="14">
        <v>2</v>
      </c>
      <c r="O52" s="16"/>
      <c r="P52" s="6">
        <v>43220.617789351847</v>
      </c>
      <c r="Q52" s="12" t="s">
        <v>329</v>
      </c>
      <c r="R52" s="17" t="s">
        <v>330</v>
      </c>
      <c r="S52" s="11"/>
      <c r="T52" s="11"/>
      <c r="U52" s="10" t="str">
        <f>HYPERLINK("https://pbs.twimg.com/profile_images/1070615205909065729/XAoYKPn3.jpg","View")</f>
        <v>View</v>
      </c>
    </row>
    <row r="53" spans="1:21" ht="91.8">
      <c r="A53" s="6">
        <v>43442.611840277779</v>
      </c>
      <c r="B53" s="7" t="str">
        <f>HYPERLINK("https://twitter.com/tonicesteve","@tonicesteve")</f>
        <v>@tonicesteve</v>
      </c>
      <c r="C53" s="8" t="s">
        <v>226</v>
      </c>
      <c r="D53" s="9" t="s">
        <v>227</v>
      </c>
      <c r="E53" s="10" t="str">
        <f>HYPERLINK("https://twitter.com/tonicesteve/status/1071399257524105216","1071399257524105216")</f>
        <v>1071399257524105216</v>
      </c>
      <c r="F53" s="12" t="s">
        <v>65</v>
      </c>
      <c r="G53" s="11"/>
      <c r="H53" s="11"/>
      <c r="I53" s="14">
        <v>0</v>
      </c>
      <c r="J53" s="14">
        <v>1</v>
      </c>
      <c r="K53" s="15" t="str">
        <f>HYPERLINK("https://mobile.twitter.com","Twitter Lite")</f>
        <v>Twitter Lite</v>
      </c>
      <c r="L53" s="14">
        <v>3636</v>
      </c>
      <c r="M53" s="14">
        <v>4237</v>
      </c>
      <c r="N53" s="14">
        <v>82</v>
      </c>
      <c r="O53" s="16"/>
      <c r="P53" s="6">
        <v>40516.845347222225</v>
      </c>
      <c r="Q53" s="12" t="s">
        <v>83</v>
      </c>
      <c r="R53" s="17" t="s">
        <v>233</v>
      </c>
      <c r="S53" s="11"/>
      <c r="T53" s="11"/>
      <c r="U53" s="10" t="str">
        <f>HYPERLINK("https://pbs.twimg.com/profile_images/915298955335958528/nePZrZBq.jpg","View")</f>
        <v>View</v>
      </c>
    </row>
    <row r="54" spans="1:21" ht="51">
      <c r="A54" s="6">
        <v>43442.610335648147</v>
      </c>
      <c r="B54" s="7" t="str">
        <f>HYPERLINK("https://twitter.com/Dulcedelechoza1","@Dulcedelechoza1")</f>
        <v>@Dulcedelechoza1</v>
      </c>
      <c r="C54" s="8" t="s">
        <v>240</v>
      </c>
      <c r="D54" s="9" t="s">
        <v>241</v>
      </c>
      <c r="E54" s="10" t="str">
        <f>HYPERLINK("https://twitter.com/Dulcedelechoza1/status/1071398714852417536","1071398714852417536")</f>
        <v>1071398714852417536</v>
      </c>
      <c r="F54" s="13" t="s">
        <v>242</v>
      </c>
      <c r="G54" s="11"/>
      <c r="H54" s="11"/>
      <c r="I54" s="14">
        <v>0</v>
      </c>
      <c r="J54" s="14">
        <v>0</v>
      </c>
      <c r="K54" s="15" t="str">
        <f>HYPERLINK("http://twitter.com","Twitter Web Client")</f>
        <v>Twitter Web Client</v>
      </c>
      <c r="L54" s="14">
        <v>332</v>
      </c>
      <c r="M54" s="14">
        <v>199</v>
      </c>
      <c r="N54" s="14">
        <v>12</v>
      </c>
      <c r="O54" s="16"/>
      <c r="P54" s="6">
        <v>41440.207997685182</v>
      </c>
      <c r="Q54" s="11"/>
      <c r="R54" s="18"/>
      <c r="S54" s="11"/>
      <c r="T54" s="11"/>
      <c r="U54" s="10" t="str">
        <f>HYPERLINK("https://pbs.twimg.com/profile_images/344513261580413695/4730ca2c66c2e68f592e09392400cdd7.jpeg","View")</f>
        <v>View</v>
      </c>
    </row>
    <row r="55" spans="1:21" ht="13.2">
      <c r="A55" s="6">
        <v>43442.608043981483</v>
      </c>
      <c r="B55" s="7" t="str">
        <f>HYPERLINK("https://twitter.com/amcp150155","@amcp150155")</f>
        <v>@amcp150155</v>
      </c>
      <c r="C55" s="8" t="s">
        <v>335</v>
      </c>
      <c r="D55" s="9" t="s">
        <v>336</v>
      </c>
      <c r="E55" s="10" t="str">
        <f>HYPERLINK("https://twitter.com/amcp150155/status/1071397883528790016","1071397883528790016")</f>
        <v>1071397883528790016</v>
      </c>
      <c r="F55" s="13" t="s">
        <v>101</v>
      </c>
      <c r="G55" s="11"/>
      <c r="H55" s="11"/>
      <c r="I55" s="14">
        <v>0</v>
      </c>
      <c r="J55" s="14">
        <v>1</v>
      </c>
      <c r="K55" s="15" t="str">
        <f t="shared" ref="K55:K57" si="9">HYPERLINK("http://twitter.com/download/android","Twitter for Android")</f>
        <v>Twitter for Android</v>
      </c>
      <c r="L55" s="14">
        <v>721</v>
      </c>
      <c r="M55" s="14">
        <v>678</v>
      </c>
      <c r="N55" s="14">
        <v>2</v>
      </c>
      <c r="O55" s="16"/>
      <c r="P55" s="6">
        <v>41862.003888888888</v>
      </c>
      <c r="Q55" s="11"/>
      <c r="R55" s="18"/>
      <c r="S55" s="11"/>
      <c r="T55" s="11"/>
      <c r="U55" s="10" t="str">
        <f>HYPERLINK("https://pbs.twimg.com/profile_images/498591314754408449/CLwcQ7el.jpeg","View")</f>
        <v>View</v>
      </c>
    </row>
    <row r="56" spans="1:21" ht="40.799999999999997">
      <c r="A56" s="6">
        <v>43442.607951388884</v>
      </c>
      <c r="B56" s="7" t="str">
        <f>HYPERLINK("https://twitter.com/Gata1_C","@Gata1_C")</f>
        <v>@Gata1_C</v>
      </c>
      <c r="C56" s="8" t="s">
        <v>246</v>
      </c>
      <c r="D56" s="9" t="s">
        <v>247</v>
      </c>
      <c r="E56" s="10" t="str">
        <f>HYPERLINK("https://twitter.com/Gata1_C/status/1071397847571066880","1071397847571066880")</f>
        <v>1071397847571066880</v>
      </c>
      <c r="F56" s="11"/>
      <c r="G56" s="11"/>
      <c r="H56" s="11"/>
      <c r="I56" s="14">
        <v>1</v>
      </c>
      <c r="J56" s="14">
        <v>2</v>
      </c>
      <c r="K56" s="15" t="str">
        <f t="shared" si="9"/>
        <v>Twitter for Android</v>
      </c>
      <c r="L56" s="14">
        <v>3876</v>
      </c>
      <c r="M56" s="14">
        <v>5000</v>
      </c>
      <c r="N56" s="14">
        <v>8</v>
      </c>
      <c r="O56" s="16"/>
      <c r="P56" s="6">
        <v>41393.042939814812</v>
      </c>
      <c r="Q56" s="12" t="s">
        <v>137</v>
      </c>
      <c r="R56" s="17" t="s">
        <v>252</v>
      </c>
      <c r="S56" s="11"/>
      <c r="T56" s="11"/>
      <c r="U56" s="10" t="str">
        <f>HYPERLINK("https://pbs.twimg.com/profile_images/1064357848287715333/GYr5W4W2.jpg","View")</f>
        <v>View</v>
      </c>
    </row>
    <row r="57" spans="1:21" ht="61.2">
      <c r="A57" s="6">
        <v>43442.603645833333</v>
      </c>
      <c r="B57" s="7" t="str">
        <f>HYPERLINK("https://twitter.com/opinioner26","@opinioner26")</f>
        <v>@opinioner26</v>
      </c>
      <c r="C57" s="8" t="s">
        <v>257</v>
      </c>
      <c r="D57" s="9" t="s">
        <v>258</v>
      </c>
      <c r="E57" s="10" t="str">
        <f>HYPERLINK("https://twitter.com/opinioner26/status/1071396290116927489","1071396290116927489")</f>
        <v>1071396290116927489</v>
      </c>
      <c r="F57" s="11"/>
      <c r="G57" s="13" t="s">
        <v>261</v>
      </c>
      <c r="H57" s="11"/>
      <c r="I57" s="14">
        <v>9</v>
      </c>
      <c r="J57" s="14">
        <v>13</v>
      </c>
      <c r="K57" s="15" t="str">
        <f t="shared" si="9"/>
        <v>Twitter for Android</v>
      </c>
      <c r="L57" s="14">
        <v>3681</v>
      </c>
      <c r="M57" s="14">
        <v>4778</v>
      </c>
      <c r="N57" s="14">
        <v>3</v>
      </c>
      <c r="O57" s="16"/>
      <c r="P57" s="6">
        <v>41342.659386574072</v>
      </c>
      <c r="Q57" s="12" t="s">
        <v>137</v>
      </c>
      <c r="R57" s="17" t="s">
        <v>264</v>
      </c>
      <c r="S57" s="11"/>
      <c r="T57" s="11"/>
      <c r="U57" s="10" t="str">
        <f>HYPERLINK("https://pbs.twimg.com/profile_images/1012273439309254662/Dhw3JHA5.jpg","View")</f>
        <v>View</v>
      </c>
    </row>
    <row r="58" spans="1:21" ht="91.8">
      <c r="A58" s="6">
        <v>43442.603518518517</v>
      </c>
      <c r="B58" s="7" t="str">
        <f>HYPERLINK("https://twitter.com/eclementen","@eclementen")</f>
        <v>@eclementen</v>
      </c>
      <c r="C58" s="8" t="s">
        <v>267</v>
      </c>
      <c r="D58" s="9" t="s">
        <v>268</v>
      </c>
      <c r="E58" s="10" t="str">
        <f>HYPERLINK("https://twitter.com/eclementen/status/1071396243237158912","1071396243237158912")</f>
        <v>1071396243237158912</v>
      </c>
      <c r="F58" s="12" t="s">
        <v>269</v>
      </c>
      <c r="G58" s="11"/>
      <c r="H58" s="11"/>
      <c r="I58" s="14">
        <v>0</v>
      </c>
      <c r="J58" s="14">
        <v>1</v>
      </c>
      <c r="K58" s="15" t="str">
        <f>HYPERLINK("http://twitter.com/download/iphone","Twitter for iPhone")</f>
        <v>Twitter for iPhone</v>
      </c>
      <c r="L58" s="14">
        <v>2211</v>
      </c>
      <c r="M58" s="14">
        <v>849</v>
      </c>
      <c r="N58" s="14">
        <v>67</v>
      </c>
      <c r="O58" s="16"/>
      <c r="P58" s="6">
        <v>40833.776261574072</v>
      </c>
      <c r="Q58" s="11"/>
      <c r="R58" s="17" t="s">
        <v>272</v>
      </c>
      <c r="S58" s="11"/>
      <c r="T58" s="11"/>
      <c r="U58" s="10" t="str">
        <f>HYPERLINK("https://pbs.twimg.com/profile_images/1026496915016507394/PchQaO9K.jpg","View")</f>
        <v>View</v>
      </c>
    </row>
    <row r="59" spans="1:21" ht="40.799999999999997">
      <c r="A59" s="6">
        <v>43442.60324074074</v>
      </c>
      <c r="B59" s="7" t="str">
        <f>HYPERLINK("https://twitter.com/Mtc60622021","@Mtc60622021")</f>
        <v>@Mtc60622021</v>
      </c>
      <c r="C59" s="8" t="s">
        <v>349</v>
      </c>
      <c r="D59" s="9" t="s">
        <v>350</v>
      </c>
      <c r="E59" s="10" t="str">
        <f>HYPERLINK("https://twitter.com/Mtc60622021/status/1071396143022686211","1071396143022686211")</f>
        <v>1071396143022686211</v>
      </c>
      <c r="F59" s="13" t="s">
        <v>47</v>
      </c>
      <c r="G59" s="11"/>
      <c r="H59" s="11"/>
      <c r="I59" s="14">
        <v>0</v>
      </c>
      <c r="J59" s="14">
        <v>0</v>
      </c>
      <c r="K59" s="15" t="str">
        <f t="shared" ref="K59:K60" si="10">HYPERLINK("http://twitter.com/download/android","Twitter for Android")</f>
        <v>Twitter for Android</v>
      </c>
      <c r="L59" s="14">
        <v>136</v>
      </c>
      <c r="M59" s="14">
        <v>130</v>
      </c>
      <c r="N59" s="14">
        <v>2</v>
      </c>
      <c r="O59" s="16"/>
      <c r="P59" s="6">
        <v>42296.880949074075</v>
      </c>
      <c r="Q59" s="12" t="s">
        <v>83</v>
      </c>
      <c r="R59" s="17" t="s">
        <v>353</v>
      </c>
      <c r="S59" s="13" t="s">
        <v>354</v>
      </c>
      <c r="T59" s="11"/>
      <c r="U59" s="10" t="str">
        <f>HYPERLINK("https://pbs.twimg.com/profile_images/822068385408282625/SVFxe_aB.jpg","View")</f>
        <v>View</v>
      </c>
    </row>
    <row r="60" spans="1:21" ht="40.799999999999997">
      <c r="A60" s="6">
        <v>43442.602268518516</v>
      </c>
      <c r="B60" s="7" t="str">
        <f>HYPERLINK("https://twitter.com/ximoilicitano14","@ximoilicitano14")</f>
        <v>@ximoilicitano14</v>
      </c>
      <c r="C60" s="8" t="s">
        <v>357</v>
      </c>
      <c r="D60" s="9" t="s">
        <v>358</v>
      </c>
      <c r="E60" s="10" t="str">
        <f>HYPERLINK("https://twitter.com/ximoilicitano14/status/1071395789585428480","1071395789585428480")</f>
        <v>1071395789585428480</v>
      </c>
      <c r="F60" s="13" t="s">
        <v>359</v>
      </c>
      <c r="G60" s="11"/>
      <c r="H60" s="11"/>
      <c r="I60" s="14">
        <v>0</v>
      </c>
      <c r="J60" s="14">
        <v>0</v>
      </c>
      <c r="K60" s="15" t="str">
        <f t="shared" si="10"/>
        <v>Twitter for Android</v>
      </c>
      <c r="L60" s="14">
        <v>811</v>
      </c>
      <c r="M60" s="14">
        <v>1053</v>
      </c>
      <c r="N60" s="14">
        <v>8</v>
      </c>
      <c r="O60" s="16"/>
      <c r="P60" s="6">
        <v>41955.035405092596</v>
      </c>
      <c r="Q60" s="11"/>
      <c r="R60" s="17" t="s">
        <v>360</v>
      </c>
      <c r="S60" s="13" t="s">
        <v>361</v>
      </c>
      <c r="T60" s="11"/>
      <c r="U60" s="10" t="str">
        <f>HYPERLINK("https://pbs.twimg.com/profile_images/1025622799283630080/BeM9PIam.jpg","View")</f>
        <v>View</v>
      </c>
    </row>
    <row r="61" spans="1:21" ht="81.599999999999994">
      <c r="A61" s="6">
        <v>43442.601875</v>
      </c>
      <c r="B61" s="7" t="str">
        <f>HYPERLINK("https://twitter.com/eclementen","@eclementen")</f>
        <v>@eclementen</v>
      </c>
      <c r="C61" s="8" t="s">
        <v>267</v>
      </c>
      <c r="D61" s="9" t="s">
        <v>275</v>
      </c>
      <c r="E61" s="10" t="str">
        <f>HYPERLINK("https://twitter.com/eclementen/status/1071395645318184966","1071395645318184966")</f>
        <v>1071395645318184966</v>
      </c>
      <c r="F61" s="13" t="s">
        <v>278</v>
      </c>
      <c r="G61" s="11"/>
      <c r="H61" s="11"/>
      <c r="I61" s="14">
        <v>15</v>
      </c>
      <c r="J61" s="14">
        <v>20</v>
      </c>
      <c r="K61" s="15" t="str">
        <f>HYPERLINK("http://twitter.com/download/iphone","Twitter for iPhone")</f>
        <v>Twitter for iPhone</v>
      </c>
      <c r="L61" s="14">
        <v>2211</v>
      </c>
      <c r="M61" s="14">
        <v>849</v>
      </c>
      <c r="N61" s="14">
        <v>67</v>
      </c>
      <c r="O61" s="16"/>
      <c r="P61" s="6">
        <v>40833.776261574072</v>
      </c>
      <c r="Q61" s="11"/>
      <c r="R61" s="17" t="s">
        <v>272</v>
      </c>
      <c r="S61" s="11"/>
      <c r="T61" s="11"/>
      <c r="U61" s="10" t="str">
        <f>HYPERLINK("https://pbs.twimg.com/profile_images/1026496915016507394/PchQaO9K.jpg","View")</f>
        <v>View</v>
      </c>
    </row>
    <row r="62" spans="1:21" ht="51">
      <c r="A62" s="6">
        <v>43442.600752314815</v>
      </c>
      <c r="B62" s="7" t="str">
        <f>HYPERLINK("https://twitter.com/_Gafas_y_reloj_","@_Gafas_y_reloj_")</f>
        <v>@_Gafas_y_reloj_</v>
      </c>
      <c r="C62" s="8" t="s">
        <v>284</v>
      </c>
      <c r="D62" s="9" t="s">
        <v>285</v>
      </c>
      <c r="E62" s="10" t="str">
        <f>HYPERLINK("https://twitter.com/_Gafas_y_reloj_/status/1071395241222131714","1071395241222131714")</f>
        <v>1071395241222131714</v>
      </c>
      <c r="F62" s="11"/>
      <c r="G62" s="11"/>
      <c r="H62" s="11"/>
      <c r="I62" s="14">
        <v>10</v>
      </c>
      <c r="J62" s="14">
        <v>18</v>
      </c>
      <c r="K62" s="15" t="str">
        <f t="shared" ref="K62:K66" si="11">HYPERLINK("http://twitter.com/download/android","Twitter for Android")</f>
        <v>Twitter for Android</v>
      </c>
      <c r="L62" s="14">
        <v>11839</v>
      </c>
      <c r="M62" s="14">
        <v>718</v>
      </c>
      <c r="N62" s="14">
        <v>194</v>
      </c>
      <c r="O62" s="16"/>
      <c r="P62" s="6">
        <v>40803.430173611108</v>
      </c>
      <c r="Q62" s="12" t="s">
        <v>288</v>
      </c>
      <c r="R62" s="17" t="s">
        <v>289</v>
      </c>
      <c r="S62" s="11"/>
      <c r="T62" s="11"/>
      <c r="U62" s="10" t="str">
        <f>HYPERLINK("https://pbs.twimg.com/profile_images/923940667965038593/LEd9tLut.jpg","View")</f>
        <v>View</v>
      </c>
    </row>
    <row r="63" spans="1:21" ht="13.2">
      <c r="A63" s="6">
        <v>43442.596932870365</v>
      </c>
      <c r="B63" s="7" t="str">
        <f>HYPERLINK("https://twitter.com/DieRoteEnte","@DieRoteEnte")</f>
        <v>@DieRoteEnte</v>
      </c>
      <c r="C63" s="8" t="s">
        <v>368</v>
      </c>
      <c r="D63" s="9" t="s">
        <v>369</v>
      </c>
      <c r="E63" s="10" t="str">
        <f>HYPERLINK("https://twitter.com/DieRoteEnte/status/1071393855067619329","1071393855067619329")</f>
        <v>1071393855067619329</v>
      </c>
      <c r="F63" s="11"/>
      <c r="G63" s="11"/>
      <c r="H63" s="11"/>
      <c r="I63" s="14">
        <v>0</v>
      </c>
      <c r="J63" s="14">
        <v>0</v>
      </c>
      <c r="K63" s="15" t="str">
        <f t="shared" si="11"/>
        <v>Twitter for Android</v>
      </c>
      <c r="L63" s="14">
        <v>39</v>
      </c>
      <c r="M63" s="14">
        <v>79</v>
      </c>
      <c r="N63" s="14">
        <v>3</v>
      </c>
      <c r="O63" s="16"/>
      <c r="P63" s="6">
        <v>41893.735914351855</v>
      </c>
      <c r="Q63" s="12" t="s">
        <v>372</v>
      </c>
      <c r="R63" s="17" t="s">
        <v>373</v>
      </c>
      <c r="S63" s="11"/>
      <c r="T63" s="11"/>
      <c r="U63" s="10" t="str">
        <f>HYPERLINK("https://pbs.twimg.com/profile_images/1069366943226957824/7X-DRA2_.jpg","View")</f>
        <v>View</v>
      </c>
    </row>
    <row r="64" spans="1:21" ht="40.799999999999997">
      <c r="A64" s="6">
        <v>43442.596724537041</v>
      </c>
      <c r="B64" s="7" t="str">
        <f>HYPERLINK("https://twitter.com/laquintacolumna","@laquintacolumna")</f>
        <v>@laquintacolumna</v>
      </c>
      <c r="C64" s="8" t="s">
        <v>375</v>
      </c>
      <c r="D64" s="9" t="s">
        <v>376</v>
      </c>
      <c r="E64" s="10" t="str">
        <f>HYPERLINK("https://twitter.com/laquintacolumna/status/1071393780471861249","1071393780471861249")</f>
        <v>1071393780471861249</v>
      </c>
      <c r="F64" s="11"/>
      <c r="G64" s="11"/>
      <c r="H64" s="11"/>
      <c r="I64" s="14">
        <v>17</v>
      </c>
      <c r="J64" s="14">
        <v>29</v>
      </c>
      <c r="K64" s="15" t="str">
        <f t="shared" si="11"/>
        <v>Twitter for Android</v>
      </c>
      <c r="L64" s="14">
        <v>41565</v>
      </c>
      <c r="M64" s="14">
        <v>145</v>
      </c>
      <c r="N64" s="14">
        <v>1282</v>
      </c>
      <c r="O64" s="16"/>
      <c r="P64" s="6">
        <v>39568.465937499997</v>
      </c>
      <c r="Q64" s="12" t="s">
        <v>41</v>
      </c>
      <c r="R64" s="17" t="s">
        <v>380</v>
      </c>
      <c r="S64" s="11"/>
      <c r="T64" s="11"/>
      <c r="U64" s="10" t="str">
        <f>HYPERLINK("https://pbs.twimg.com/profile_images/1058117934525149184/yaVFD3Ng.jpg","View")</f>
        <v>View</v>
      </c>
    </row>
    <row r="65" spans="1:21" ht="30.6">
      <c r="A65" s="6">
        <v>43442.595636574071</v>
      </c>
      <c r="B65" s="7" t="str">
        <f>HYPERLINK("https://twitter.com/Nemesiswings","@Nemesiswings")</f>
        <v>@Nemesiswings</v>
      </c>
      <c r="C65" s="8" t="s">
        <v>381</v>
      </c>
      <c r="D65" s="9" t="s">
        <v>382</v>
      </c>
      <c r="E65" s="10" t="str">
        <f>HYPERLINK("https://twitter.com/Nemesiswings/status/1071393385716568065","1071393385716568065")</f>
        <v>1071393385716568065</v>
      </c>
      <c r="F65" s="11"/>
      <c r="G65" s="13" t="s">
        <v>383</v>
      </c>
      <c r="H65" s="11"/>
      <c r="I65" s="14">
        <v>0</v>
      </c>
      <c r="J65" s="14">
        <v>0</v>
      </c>
      <c r="K65" s="15" t="str">
        <f t="shared" si="11"/>
        <v>Twitter for Android</v>
      </c>
      <c r="L65" s="14">
        <v>789</v>
      </c>
      <c r="M65" s="14">
        <v>149</v>
      </c>
      <c r="N65" s="14">
        <v>12</v>
      </c>
      <c r="O65" s="16"/>
      <c r="P65" s="6">
        <v>42024.499351851853</v>
      </c>
      <c r="Q65" s="11"/>
      <c r="R65" s="17" t="s">
        <v>384</v>
      </c>
      <c r="S65" s="11"/>
      <c r="T65" s="11"/>
      <c r="U65" s="10" t="str">
        <f>HYPERLINK("https://pbs.twimg.com/profile_images/559451726944563200/6nQFi-CR.jpeg","View")</f>
        <v>View</v>
      </c>
    </row>
    <row r="66" spans="1:21" ht="20.399999999999999">
      <c r="A66" s="6">
        <v>43442.594375000001</v>
      </c>
      <c r="B66" s="7" t="str">
        <f>HYPERLINK("https://twitter.com/Julianvirome","@Julianvirome")</f>
        <v>@Julianvirome</v>
      </c>
      <c r="C66" s="8" t="s">
        <v>385</v>
      </c>
      <c r="D66" s="9" t="s">
        <v>386</v>
      </c>
      <c r="E66" s="10" t="str">
        <f>HYPERLINK("https://twitter.com/Julianvirome/status/1071392927371460608","1071392927371460608")</f>
        <v>1071392927371460608</v>
      </c>
      <c r="F66" s="13" t="s">
        <v>245</v>
      </c>
      <c r="G66" s="11"/>
      <c r="H66" s="11"/>
      <c r="I66" s="14">
        <v>1</v>
      </c>
      <c r="J66" s="14">
        <v>1</v>
      </c>
      <c r="K66" s="15" t="str">
        <f t="shared" si="11"/>
        <v>Twitter for Android</v>
      </c>
      <c r="L66" s="14">
        <v>2630</v>
      </c>
      <c r="M66" s="14">
        <v>4994</v>
      </c>
      <c r="N66" s="14">
        <v>23</v>
      </c>
      <c r="O66" s="16"/>
      <c r="P66" s="6">
        <v>40630.875810185185</v>
      </c>
      <c r="Q66" s="12" t="s">
        <v>29</v>
      </c>
      <c r="R66" s="17" t="s">
        <v>387</v>
      </c>
      <c r="S66" s="11"/>
      <c r="T66" s="11"/>
      <c r="U66" s="10" t="str">
        <f>HYPERLINK("https://pbs.twimg.com/profile_images/1015475281803530241/aBROVKXy.jpg","View")</f>
        <v>View</v>
      </c>
    </row>
    <row r="67" spans="1:21" ht="40.799999999999997">
      <c r="A67" s="6">
        <v>43442.590381944443</v>
      </c>
      <c r="B67" s="7" t="str">
        <f>HYPERLINK("https://twitter.com/Mati_Quiros","@Mati_Quiros")</f>
        <v>@Mati_Quiros</v>
      </c>
      <c r="C67" s="8" t="s">
        <v>293</v>
      </c>
      <c r="D67" s="9" t="s">
        <v>294</v>
      </c>
      <c r="E67" s="10" t="str">
        <f>HYPERLINK("https://twitter.com/Mati_Quiros/status/1071391483276771328","1071391483276771328")</f>
        <v>1071391483276771328</v>
      </c>
      <c r="F67" s="12" t="s">
        <v>296</v>
      </c>
      <c r="G67" s="11"/>
      <c r="H67" s="11"/>
      <c r="I67" s="14">
        <v>1</v>
      </c>
      <c r="J67" s="14">
        <v>1</v>
      </c>
      <c r="K67" s="15" t="str">
        <f>HYPERLINK("http://twitter.com","Twitter Web Client")</f>
        <v>Twitter Web Client</v>
      </c>
      <c r="L67" s="14">
        <v>584</v>
      </c>
      <c r="M67" s="14">
        <v>644</v>
      </c>
      <c r="N67" s="14">
        <v>3</v>
      </c>
      <c r="O67" s="16"/>
      <c r="P67" s="6">
        <v>41974.008622685185</v>
      </c>
      <c r="Q67" s="12" t="s">
        <v>298</v>
      </c>
      <c r="R67" s="17" t="s">
        <v>299</v>
      </c>
      <c r="S67" s="11"/>
      <c r="T67" s="11"/>
      <c r="U67" s="10" t="str">
        <f>HYPERLINK("https://pbs.twimg.com/profile_images/1015343615856410624/jvWTyrap.jpg","View")</f>
        <v>View</v>
      </c>
    </row>
    <row r="68" spans="1:21" ht="30.6">
      <c r="A68" s="6">
        <v>43442.590277777781</v>
      </c>
      <c r="B68" s="7" t="str">
        <f>HYPERLINK("https://twitter.com/LaOtraAgendaTM","@LaOtraAgendaTM")</f>
        <v>@LaOtraAgendaTM</v>
      </c>
      <c r="C68" s="8" t="s">
        <v>300</v>
      </c>
      <c r="D68" s="9" t="s">
        <v>301</v>
      </c>
      <c r="E68" s="10" t="str">
        <f>HYPERLINK("https://twitter.com/LaOtraAgendaTM/status/1071391445037256705","1071391445037256705")</f>
        <v>1071391445037256705</v>
      </c>
      <c r="F68" s="11"/>
      <c r="G68" s="13" t="s">
        <v>302</v>
      </c>
      <c r="H68" s="11"/>
      <c r="I68" s="14">
        <v>1</v>
      </c>
      <c r="J68" s="14">
        <v>1</v>
      </c>
      <c r="K68" s="15" t="str">
        <f>HYPERLINK("http://dogtrack.es","DogTrack_Oficial")</f>
        <v>DogTrack_Oficial</v>
      </c>
      <c r="L68" s="14">
        <v>305</v>
      </c>
      <c r="M68" s="14">
        <v>173</v>
      </c>
      <c r="N68" s="14">
        <v>2</v>
      </c>
      <c r="O68" s="16"/>
      <c r="P68" s="6">
        <v>43375.410254629634</v>
      </c>
      <c r="Q68" s="12" t="s">
        <v>187</v>
      </c>
      <c r="R68" s="17" t="s">
        <v>307</v>
      </c>
      <c r="S68" s="13" t="s">
        <v>308</v>
      </c>
      <c r="T68" s="11"/>
      <c r="U68" s="10" t="str">
        <f>HYPERLINK("https://pbs.twimg.com/profile_images/1047031926312357888/Vwqma0v4.jpg","View")</f>
        <v>View</v>
      </c>
    </row>
    <row r="69" spans="1:21" ht="40.799999999999997">
      <c r="A69" s="6">
        <v>43442.590243055558</v>
      </c>
      <c r="B69" s="7" t="str">
        <f>HYPERLINK("https://twitter.com/erregood","@erregood")</f>
        <v>@erregood</v>
      </c>
      <c r="C69" s="8" t="s">
        <v>314</v>
      </c>
      <c r="D69" s="9" t="s">
        <v>315</v>
      </c>
      <c r="E69" s="10" t="str">
        <f>HYPERLINK("https://twitter.com/erregood/status/1071391430239756288","1071391430239756288")</f>
        <v>1071391430239756288</v>
      </c>
      <c r="F69" s="13" t="s">
        <v>316</v>
      </c>
      <c r="G69" s="13" t="s">
        <v>317</v>
      </c>
      <c r="H69" s="11"/>
      <c r="I69" s="14">
        <v>0</v>
      </c>
      <c r="J69" s="14">
        <v>0</v>
      </c>
      <c r="K69" s="15" t="str">
        <f t="shared" ref="K69:K71" si="12">HYPERLINK("http://twitter.com/download/android","Twitter for Android")</f>
        <v>Twitter for Android</v>
      </c>
      <c r="L69" s="14">
        <v>622</v>
      </c>
      <c r="M69" s="14">
        <v>525</v>
      </c>
      <c r="N69" s="14">
        <v>1</v>
      </c>
      <c r="O69" s="16"/>
      <c r="P69" s="6">
        <v>41366.862928240742</v>
      </c>
      <c r="Q69" s="11"/>
      <c r="R69" s="18"/>
      <c r="S69" s="11"/>
      <c r="T69" s="11"/>
      <c r="U69" s="10" t="str">
        <f>HYPERLINK("https://pbs.twimg.com/profile_images/1067728172173664256/IkllR3nB.jpg","View")</f>
        <v>View</v>
      </c>
    </row>
    <row r="70" spans="1:21" ht="30.6">
      <c r="A70" s="6">
        <v>43442.590162037042</v>
      </c>
      <c r="B70" s="7" t="str">
        <f>HYPERLINK("https://twitter.com/FrankKulture","@FrankKulture")</f>
        <v>@FrankKulture</v>
      </c>
      <c r="C70" s="8" t="s">
        <v>399</v>
      </c>
      <c r="D70" s="9" t="s">
        <v>400</v>
      </c>
      <c r="E70" s="10" t="str">
        <f>HYPERLINK("https://twitter.com/FrankKulture/status/1071391403341701121","1071391403341701121")</f>
        <v>1071391403341701121</v>
      </c>
      <c r="F70" s="11"/>
      <c r="G70" s="11"/>
      <c r="H70" s="11"/>
      <c r="I70" s="14">
        <v>0</v>
      </c>
      <c r="J70" s="14">
        <v>1</v>
      </c>
      <c r="K70" s="15" t="str">
        <f t="shared" si="12"/>
        <v>Twitter for Android</v>
      </c>
      <c r="L70" s="14">
        <v>1651</v>
      </c>
      <c r="M70" s="14">
        <v>680</v>
      </c>
      <c r="N70" s="14">
        <v>16</v>
      </c>
      <c r="O70" s="16"/>
      <c r="P70" s="6">
        <v>40989.60565972222</v>
      </c>
      <c r="Q70" s="12" t="s">
        <v>401</v>
      </c>
      <c r="R70" s="17" t="s">
        <v>402</v>
      </c>
      <c r="S70" s="11"/>
      <c r="T70" s="11"/>
      <c r="U70" s="10" t="str">
        <f>HYPERLINK("https://pbs.twimg.com/profile_images/881875879940554752/lwua7mnK.jpg","View")</f>
        <v>View</v>
      </c>
    </row>
    <row r="71" spans="1:21" ht="61.2">
      <c r="A71" s="6">
        <v>43442.589212962965</v>
      </c>
      <c r="B71" s="7" t="str">
        <f>HYPERLINK("https://twitter.com/Panik81","@Panik81")</f>
        <v>@Panik81</v>
      </c>
      <c r="C71" s="8" t="s">
        <v>405</v>
      </c>
      <c r="D71" s="9" t="s">
        <v>406</v>
      </c>
      <c r="E71" s="10" t="str">
        <f>HYPERLINK("https://twitter.com/Panik81/status/1071391057190010881","1071391057190010881")</f>
        <v>1071391057190010881</v>
      </c>
      <c r="F71" s="13" t="s">
        <v>316</v>
      </c>
      <c r="G71" s="13" t="s">
        <v>317</v>
      </c>
      <c r="H71" s="11"/>
      <c r="I71" s="14">
        <v>61</v>
      </c>
      <c r="J71" s="14">
        <v>66</v>
      </c>
      <c r="K71" s="15" t="str">
        <f t="shared" si="12"/>
        <v>Twitter for Android</v>
      </c>
      <c r="L71" s="14">
        <v>12963</v>
      </c>
      <c r="M71" s="14">
        <v>1545</v>
      </c>
      <c r="N71" s="14">
        <v>112</v>
      </c>
      <c r="O71" s="16"/>
      <c r="P71" s="6">
        <v>40910.592569444445</v>
      </c>
      <c r="Q71" s="11"/>
      <c r="R71" s="17" t="s">
        <v>408</v>
      </c>
      <c r="S71" s="11"/>
      <c r="T71" s="11"/>
      <c r="U71" s="10" t="str">
        <f>HYPERLINK("https://pbs.twimg.com/profile_images/765530824049655808/6PS-97m7.jpg","View")</f>
        <v>View</v>
      </c>
    </row>
    <row r="72" spans="1:21" ht="30.6">
      <c r="A72" s="6">
        <v>43442.588680555556</v>
      </c>
      <c r="B72" s="7" t="str">
        <f>HYPERLINK("https://twitter.com/EduardoGJR","@EduardoGJR")</f>
        <v>@EduardoGJR</v>
      </c>
      <c r="C72" s="8" t="s">
        <v>409</v>
      </c>
      <c r="D72" s="9" t="s">
        <v>410</v>
      </c>
      <c r="E72" s="10" t="str">
        <f>HYPERLINK("https://twitter.com/EduardoGJR/status/1071390864063246336","1071390864063246336")</f>
        <v>1071390864063246336</v>
      </c>
      <c r="F72" s="13" t="s">
        <v>412</v>
      </c>
      <c r="G72" s="11"/>
      <c r="H72" s="11"/>
      <c r="I72" s="14">
        <v>0</v>
      </c>
      <c r="J72" s="14">
        <v>0</v>
      </c>
      <c r="K72" s="15" t="str">
        <f t="shared" ref="K72:K73" si="13">HYPERLINK("http://twitter.com","Twitter Web Client")</f>
        <v>Twitter Web Client</v>
      </c>
      <c r="L72" s="14">
        <v>858</v>
      </c>
      <c r="M72" s="14">
        <v>1504</v>
      </c>
      <c r="N72" s="14">
        <v>36</v>
      </c>
      <c r="O72" s="16"/>
      <c r="P72" s="6">
        <v>42391.825023148151</v>
      </c>
      <c r="Q72" s="11"/>
      <c r="R72" s="17" t="s">
        <v>413</v>
      </c>
      <c r="S72" s="13" t="s">
        <v>414</v>
      </c>
      <c r="T72" s="11"/>
      <c r="U72" s="10" t="str">
        <f>HYPERLINK("https://pbs.twimg.com/profile_images/1035582773715718145/F3v-qkUe.jpg","View")</f>
        <v>View</v>
      </c>
    </row>
    <row r="73" spans="1:21" ht="20.399999999999999">
      <c r="A73" s="6">
        <v>43442.586041666669</v>
      </c>
      <c r="B73" s="7" t="str">
        <f>HYPERLINK("https://twitter.com/Pelaspigas1","@Pelaspigas1")</f>
        <v>@Pelaspigas1</v>
      </c>
      <c r="C73" s="8" t="s">
        <v>417</v>
      </c>
      <c r="D73" s="9" t="s">
        <v>418</v>
      </c>
      <c r="E73" s="10" t="str">
        <f>HYPERLINK("https://twitter.com/Pelaspigas1/status/1071389909057982464","1071389909057982464")</f>
        <v>1071389909057982464</v>
      </c>
      <c r="F73" s="13" t="s">
        <v>228</v>
      </c>
      <c r="G73" s="11"/>
      <c r="H73" s="11"/>
      <c r="I73" s="14">
        <v>0</v>
      </c>
      <c r="J73" s="14">
        <v>0</v>
      </c>
      <c r="K73" s="15" t="str">
        <f t="shared" si="13"/>
        <v>Twitter Web Client</v>
      </c>
      <c r="L73" s="14">
        <v>234</v>
      </c>
      <c r="M73" s="14">
        <v>521</v>
      </c>
      <c r="N73" s="14">
        <v>8</v>
      </c>
      <c r="O73" s="16"/>
      <c r="P73" s="6">
        <v>40860.8518287037</v>
      </c>
      <c r="Q73" s="12" t="s">
        <v>420</v>
      </c>
      <c r="R73" s="17" t="s">
        <v>421</v>
      </c>
      <c r="S73" s="11"/>
      <c r="T73" s="11"/>
      <c r="U73" s="10" t="str">
        <f>HYPERLINK("https://pbs.twimg.com/profile_images/1637393939/puerto-lapice-28b.jpg","View")</f>
        <v>View</v>
      </c>
    </row>
    <row r="74" spans="1:21" ht="61.2">
      <c r="A74" s="6">
        <v>43442.577569444446</v>
      </c>
      <c r="B74" s="7" t="str">
        <f>HYPERLINK("https://twitter.com/GrdAlcantara","@GrdAlcantara")</f>
        <v>@GrdAlcantara</v>
      </c>
      <c r="C74" s="8" t="s">
        <v>320</v>
      </c>
      <c r="D74" s="9" t="s">
        <v>321</v>
      </c>
      <c r="E74" s="10" t="str">
        <f>HYPERLINK("https://twitter.com/GrdAlcantara/status/1071386838806474752","1071386838806474752")</f>
        <v>1071386838806474752</v>
      </c>
      <c r="F74" s="13" t="s">
        <v>322</v>
      </c>
      <c r="G74" s="11"/>
      <c r="H74" s="11"/>
      <c r="I74" s="14">
        <v>0</v>
      </c>
      <c r="J74" s="14">
        <v>0</v>
      </c>
      <c r="K74" s="15" t="str">
        <f t="shared" ref="K74:K75" si="14">HYPERLINK("http://twitter.com/download/iphone","Twitter for iPhone")</f>
        <v>Twitter for iPhone</v>
      </c>
      <c r="L74" s="14">
        <v>451</v>
      </c>
      <c r="M74" s="14">
        <v>768</v>
      </c>
      <c r="N74" s="14">
        <v>19</v>
      </c>
      <c r="O74" s="16"/>
      <c r="P74" s="6">
        <v>42531.622361111113</v>
      </c>
      <c r="Q74" s="12" t="s">
        <v>323</v>
      </c>
      <c r="R74" s="17" t="s">
        <v>324</v>
      </c>
      <c r="S74" s="11"/>
      <c r="T74" s="11"/>
      <c r="U74" s="10" t="str">
        <f>HYPERLINK("https://pbs.twimg.com/profile_images/921622233759567872/kB4LOrNM.jpg","View")</f>
        <v>View</v>
      </c>
    </row>
    <row r="75" spans="1:21" ht="40.799999999999997">
      <c r="A75" s="6">
        <v>43442.577453703707</v>
      </c>
      <c r="B75" s="7" t="str">
        <f>HYPERLINK("https://twitter.com/dgpastor","@dgpastor")</f>
        <v>@dgpastor</v>
      </c>
      <c r="C75" s="8" t="s">
        <v>426</v>
      </c>
      <c r="D75" s="9" t="s">
        <v>427</v>
      </c>
      <c r="E75" s="10" t="str">
        <f>HYPERLINK("https://twitter.com/dgpastor/status/1071386795676483584","1071386795676483584")</f>
        <v>1071386795676483584</v>
      </c>
      <c r="F75" s="13" t="s">
        <v>101</v>
      </c>
      <c r="G75" s="11"/>
      <c r="H75" s="11"/>
      <c r="I75" s="14">
        <v>0</v>
      </c>
      <c r="J75" s="14">
        <v>1</v>
      </c>
      <c r="K75" s="15" t="str">
        <f t="shared" si="14"/>
        <v>Twitter for iPhone</v>
      </c>
      <c r="L75" s="14">
        <v>3748</v>
      </c>
      <c r="M75" s="14">
        <v>843</v>
      </c>
      <c r="N75" s="14">
        <v>199</v>
      </c>
      <c r="O75" s="16"/>
      <c r="P75" s="6">
        <v>40038.451296296298</v>
      </c>
      <c r="Q75" s="12" t="s">
        <v>430</v>
      </c>
      <c r="R75" s="17" t="s">
        <v>431</v>
      </c>
      <c r="S75" s="13" t="s">
        <v>433</v>
      </c>
      <c r="T75" s="11"/>
      <c r="U75" s="10" t="str">
        <f>HYPERLINK("https://pbs.twimg.com/profile_images/1053386326370869248/tZ0p-OML.jpg","View")</f>
        <v>View</v>
      </c>
    </row>
    <row r="76" spans="1:21" ht="20.399999999999999">
      <c r="A76" s="6">
        <v>43442.577349537038</v>
      </c>
      <c r="B76" s="7" t="str">
        <f>HYPERLINK("https://twitter.com/_Gafas_y_reloj_","@_Gafas_y_reloj_")</f>
        <v>@_Gafas_y_reloj_</v>
      </c>
      <c r="C76" s="8" t="s">
        <v>284</v>
      </c>
      <c r="D76" s="9" t="s">
        <v>328</v>
      </c>
      <c r="E76" s="10" t="str">
        <f>HYPERLINK("https://twitter.com/_Gafas_y_reloj_/status/1071386759538360320","1071386759538360320")</f>
        <v>1071386759538360320</v>
      </c>
      <c r="F76" s="11"/>
      <c r="G76" s="11"/>
      <c r="H76" s="11"/>
      <c r="I76" s="14">
        <v>6</v>
      </c>
      <c r="J76" s="14">
        <v>5</v>
      </c>
      <c r="K76" s="15" t="str">
        <f>HYPERLINK("http://twitter.com","Twitter Web Client")</f>
        <v>Twitter Web Client</v>
      </c>
      <c r="L76" s="14">
        <v>11839</v>
      </c>
      <c r="M76" s="14">
        <v>718</v>
      </c>
      <c r="N76" s="14">
        <v>194</v>
      </c>
      <c r="O76" s="16"/>
      <c r="P76" s="6">
        <v>40803.430173611108</v>
      </c>
      <c r="Q76" s="12" t="s">
        <v>288</v>
      </c>
      <c r="R76" s="17" t="s">
        <v>289</v>
      </c>
      <c r="S76" s="11"/>
      <c r="T76" s="11"/>
      <c r="U76" s="10" t="str">
        <f>HYPERLINK("https://pbs.twimg.com/profile_images/923940667965038593/LEd9tLut.jpg","View")</f>
        <v>View</v>
      </c>
    </row>
    <row r="77" spans="1:21" ht="71.400000000000006">
      <c r="A77" s="6">
        <v>43442.568888888884</v>
      </c>
      <c r="B77" s="7" t="str">
        <f>HYPERLINK("https://twitter.com/CurroTroya","@CurroTroya")</f>
        <v>@CurroTroya</v>
      </c>
      <c r="C77" s="8" t="s">
        <v>331</v>
      </c>
      <c r="D77" s="9" t="s">
        <v>332</v>
      </c>
      <c r="E77" s="10" t="str">
        <f>HYPERLINK("https://twitter.com/CurroTroya/status/1071383694332567552","1071383694332567552")</f>
        <v>1071383694332567552</v>
      </c>
      <c r="F77" s="12" t="s">
        <v>65</v>
      </c>
      <c r="G77" s="11"/>
      <c r="H77" s="11"/>
      <c r="I77" s="14">
        <v>0</v>
      </c>
      <c r="J77" s="14">
        <v>2</v>
      </c>
      <c r="K77" s="15" t="str">
        <f>HYPERLINK("https://about.twitter.com/products/tweetdeck","TweetDeck")</f>
        <v>TweetDeck</v>
      </c>
      <c r="L77" s="14">
        <v>15192</v>
      </c>
      <c r="M77" s="14">
        <v>6480</v>
      </c>
      <c r="N77" s="14">
        <v>479</v>
      </c>
      <c r="O77" s="16"/>
      <c r="P77" s="6">
        <v>39989.777754629627</v>
      </c>
      <c r="Q77" s="12" t="s">
        <v>298</v>
      </c>
      <c r="R77" s="17" t="s">
        <v>333</v>
      </c>
      <c r="S77" s="13" t="s">
        <v>334</v>
      </c>
      <c r="T77" s="11"/>
      <c r="U77" s="10" t="str">
        <f>HYPERLINK("https://pbs.twimg.com/profile_images/1010977003196076033/3hTl853S.jpg","View")</f>
        <v>View</v>
      </c>
    </row>
    <row r="78" spans="1:21" ht="51">
      <c r="A78" s="6">
        <v>43442.566921296297</v>
      </c>
      <c r="B78" s="7" t="str">
        <f>HYPERLINK("https://twitter.com/Madrizfc","@Madrizfc")</f>
        <v>@Madrizfc</v>
      </c>
      <c r="C78" s="8" t="s">
        <v>337</v>
      </c>
      <c r="D78" s="9" t="s">
        <v>338</v>
      </c>
      <c r="E78" s="10" t="str">
        <f>HYPERLINK("https://twitter.com/Madrizfc/status/1071382978545283078","1071382978545283078")</f>
        <v>1071382978545283078</v>
      </c>
      <c r="F78" s="12" t="s">
        <v>339</v>
      </c>
      <c r="G78" s="13" t="s">
        <v>340</v>
      </c>
      <c r="H78" s="11"/>
      <c r="I78" s="14">
        <v>0</v>
      </c>
      <c r="J78" s="14">
        <v>1</v>
      </c>
      <c r="K78" s="15" t="str">
        <f>HYPERLINK("http://twitter.com/download/android","Twitter for Android")</f>
        <v>Twitter for Android</v>
      </c>
      <c r="L78" s="14">
        <v>180</v>
      </c>
      <c r="M78" s="14">
        <v>436</v>
      </c>
      <c r="N78" s="14">
        <v>0</v>
      </c>
      <c r="O78" s="16"/>
      <c r="P78" s="6">
        <v>41429.442569444444</v>
      </c>
      <c r="Q78" s="11"/>
      <c r="R78" s="17" t="s">
        <v>341</v>
      </c>
      <c r="S78" s="11"/>
      <c r="T78" s="11"/>
      <c r="U78" s="10" t="str">
        <f>HYPERLINK("https://pbs.twimg.com/profile_images/921473267084529664/JfuQ9qb3.jpg","View")</f>
        <v>View</v>
      </c>
    </row>
    <row r="79" spans="1:21" ht="81.599999999999994">
      <c r="A79" s="6">
        <v>43442.56559027778</v>
      </c>
      <c r="B79" s="7" t="str">
        <f>HYPERLINK("https://twitter.com/Albert_Rivera","@Albert_Rivera")</f>
        <v>@Albert_Rivera</v>
      </c>
      <c r="C79" s="8" t="s">
        <v>443</v>
      </c>
      <c r="D79" s="9" t="s">
        <v>444</v>
      </c>
      <c r="E79" s="10" t="str">
        <f>HYPERLINK("https://twitter.com/Albert_Rivera/status/1071382498867900416","1071382498867900416")</f>
        <v>1071382498867900416</v>
      </c>
      <c r="F79" s="12" t="s">
        <v>447</v>
      </c>
      <c r="G79" s="13" t="s">
        <v>448</v>
      </c>
      <c r="H79" s="11"/>
      <c r="I79" s="14">
        <v>672</v>
      </c>
      <c r="J79" s="14">
        <v>1033</v>
      </c>
      <c r="K79" s="15" t="str">
        <f>HYPERLINK("http://twitter.com/download/iphone","Twitter for iPhone")</f>
        <v>Twitter for iPhone</v>
      </c>
      <c r="L79" s="14">
        <v>1075807</v>
      </c>
      <c r="M79" s="14">
        <v>2547</v>
      </c>
      <c r="N79" s="14">
        <v>5114</v>
      </c>
      <c r="O79" s="19" t="s">
        <v>42</v>
      </c>
      <c r="P79" s="6">
        <v>40205.748171296298</v>
      </c>
      <c r="Q79" s="12" t="s">
        <v>137</v>
      </c>
      <c r="R79" s="17" t="s">
        <v>450</v>
      </c>
      <c r="S79" s="13" t="s">
        <v>452</v>
      </c>
      <c r="T79" s="11"/>
      <c r="U79" s="10" t="str">
        <f>HYPERLINK("https://pbs.twimg.com/profile_images/1030708936779988993/RncDM4EZ.jpg","View")</f>
        <v>View</v>
      </c>
    </row>
    <row r="80" spans="1:21" ht="30.6">
      <c r="A80" s="6">
        <v>43442.564745370371</v>
      </c>
      <c r="B80" s="7" t="str">
        <f>HYPERLINK("https://twitter.com/__jkbp","@__jkbp")</f>
        <v>@__jkbp</v>
      </c>
      <c r="C80" s="8" t="s">
        <v>453</v>
      </c>
      <c r="D80" s="9" t="s">
        <v>455</v>
      </c>
      <c r="E80" s="10" t="str">
        <f>HYPERLINK("https://twitter.com/__jkbp/status/1071382192968908800","1071382192968908800")</f>
        <v>1071382192968908800</v>
      </c>
      <c r="F80" s="13" t="s">
        <v>457</v>
      </c>
      <c r="G80" s="11"/>
      <c r="H80" s="11"/>
      <c r="I80" s="14">
        <v>0</v>
      </c>
      <c r="J80" s="14">
        <v>1</v>
      </c>
      <c r="K80" s="15" t="str">
        <f>HYPERLINK("http://twitter.com/download/android","Twitter for Android")</f>
        <v>Twitter for Android</v>
      </c>
      <c r="L80" s="14">
        <v>840</v>
      </c>
      <c r="M80" s="14">
        <v>269</v>
      </c>
      <c r="N80" s="14">
        <v>11</v>
      </c>
      <c r="O80" s="16"/>
      <c r="P80" s="6">
        <v>40668.664212962962</v>
      </c>
      <c r="Q80" s="12" t="s">
        <v>60</v>
      </c>
      <c r="R80" s="17" t="s">
        <v>458</v>
      </c>
      <c r="S80" s="13" t="s">
        <v>459</v>
      </c>
      <c r="T80" s="11"/>
      <c r="U80" s="10" t="str">
        <f>HYPERLINK("https://pbs.twimg.com/profile_images/1071389980382121984/9L4XTbMc.jpg","View")</f>
        <v>View</v>
      </c>
    </row>
    <row r="81" spans="1:21" ht="30.6">
      <c r="A81" s="6">
        <v>43442.564421296294</v>
      </c>
      <c r="B81" s="7" t="str">
        <f>HYPERLINK("https://twitter.com/Aclnari","@Aclnari")</f>
        <v>@Aclnari</v>
      </c>
      <c r="C81" s="8" t="s">
        <v>461</v>
      </c>
      <c r="D81" s="9" t="s">
        <v>462</v>
      </c>
      <c r="E81" s="10" t="str">
        <f>HYPERLINK("https://twitter.com/Aclnari/status/1071382075842969600","1071382075842969600")</f>
        <v>1071382075842969600</v>
      </c>
      <c r="F81" s="11"/>
      <c r="G81" s="11"/>
      <c r="H81" s="11"/>
      <c r="I81" s="14">
        <v>1</v>
      </c>
      <c r="J81" s="14">
        <v>1</v>
      </c>
      <c r="K81" s="15" t="str">
        <f t="shared" ref="K81:K83" si="15">HYPERLINK("http://twitter.com","Twitter Web Client")</f>
        <v>Twitter Web Client</v>
      </c>
      <c r="L81" s="14">
        <v>80</v>
      </c>
      <c r="M81" s="14">
        <v>248</v>
      </c>
      <c r="N81" s="14">
        <v>3</v>
      </c>
      <c r="O81" s="16"/>
      <c r="P81" s="6">
        <v>40743.05327546296</v>
      </c>
      <c r="Q81" s="11"/>
      <c r="R81" s="17" t="s">
        <v>464</v>
      </c>
      <c r="S81" s="11"/>
      <c r="T81" s="11"/>
      <c r="U81" s="10" t="str">
        <f>HYPERLINK("https://pbs.twimg.com/profile_images/1769759395/Liverbird_avatar.jpg","View")</f>
        <v>View</v>
      </c>
    </row>
    <row r="82" spans="1:21" ht="102">
      <c r="A82" s="6">
        <v>43442.561944444446</v>
      </c>
      <c r="B82" s="7" t="str">
        <f>HYPERLINK("https://twitter.com/Pedrokupa","@Pedrokupa")</f>
        <v>@Pedrokupa</v>
      </c>
      <c r="C82" s="8" t="s">
        <v>465</v>
      </c>
      <c r="D82" s="9" t="s">
        <v>466</v>
      </c>
      <c r="E82" s="10" t="str">
        <f>HYPERLINK("https://twitter.com/Pedrokupa/status/1071381175053238272","1071381175053238272")</f>
        <v>1071381175053238272</v>
      </c>
      <c r="F82" s="13" t="s">
        <v>467</v>
      </c>
      <c r="G82" s="13" t="s">
        <v>468</v>
      </c>
      <c r="H82" s="11"/>
      <c r="I82" s="14">
        <v>0</v>
      </c>
      <c r="J82" s="14">
        <v>0</v>
      </c>
      <c r="K82" s="15" t="str">
        <f t="shared" si="15"/>
        <v>Twitter Web Client</v>
      </c>
      <c r="L82" s="14">
        <v>1134</v>
      </c>
      <c r="M82" s="14">
        <v>204</v>
      </c>
      <c r="N82" s="14">
        <v>11</v>
      </c>
      <c r="O82" s="16"/>
      <c r="P82" s="6">
        <v>41148.026273148149</v>
      </c>
      <c r="Q82" s="12" t="s">
        <v>471</v>
      </c>
      <c r="R82" s="17" t="s">
        <v>472</v>
      </c>
      <c r="S82" s="11"/>
      <c r="T82" s="11"/>
      <c r="U82" s="10" t="str">
        <f>HYPERLINK("https://pbs.twimg.com/profile_images/1024057409839480832/LmBrp5MR.jpg","View")</f>
        <v>View</v>
      </c>
    </row>
    <row r="83" spans="1:21" ht="30.6">
      <c r="A83" s="6">
        <v>43442.553402777776</v>
      </c>
      <c r="B83" s="7" t="str">
        <f>HYPERLINK("https://twitter.com/jomalumi1","@jomalumi1")</f>
        <v>@jomalumi1</v>
      </c>
      <c r="C83" s="8" t="s">
        <v>474</v>
      </c>
      <c r="D83" s="9" t="s">
        <v>475</v>
      </c>
      <c r="E83" s="10" t="str">
        <f>HYPERLINK("https://twitter.com/jomalumi1/status/1071378081544368128","1071378081544368128")</f>
        <v>1071378081544368128</v>
      </c>
      <c r="F83" s="13" t="s">
        <v>476</v>
      </c>
      <c r="G83" s="11"/>
      <c r="H83" s="11"/>
      <c r="I83" s="14">
        <v>1</v>
      </c>
      <c r="J83" s="14">
        <v>1</v>
      </c>
      <c r="K83" s="15" t="str">
        <f t="shared" si="15"/>
        <v>Twitter Web Client</v>
      </c>
      <c r="L83" s="14">
        <v>8945</v>
      </c>
      <c r="M83" s="14">
        <v>7512</v>
      </c>
      <c r="N83" s="14">
        <v>34</v>
      </c>
      <c r="O83" s="16"/>
      <c r="P83" s="6">
        <v>42594.023460648154</v>
      </c>
      <c r="Q83" s="12" t="s">
        <v>477</v>
      </c>
      <c r="R83" s="17" t="s">
        <v>478</v>
      </c>
      <c r="S83" s="11"/>
      <c r="T83" s="11"/>
      <c r="U83" s="10" t="str">
        <f>HYPERLINK("https://pbs.twimg.com/profile_images/968910222935908352/ah-5pBqA.jpg","View")</f>
        <v>View</v>
      </c>
    </row>
    <row r="84" spans="1:21" ht="30.6">
      <c r="A84" s="6">
        <v>43442.552777777775</v>
      </c>
      <c r="B84" s="7" t="str">
        <f>HYPERLINK("https://twitter.com/ElHuffPost","@ElHuffPost")</f>
        <v>@ElHuffPost</v>
      </c>
      <c r="C84" s="8" t="s">
        <v>114</v>
      </c>
      <c r="D84" s="9" t="s">
        <v>479</v>
      </c>
      <c r="E84" s="10" t="str">
        <f>HYPERLINK("https://twitter.com/ElHuffPost/status/1071377854070444033","1071377854070444033")</f>
        <v>1071377854070444033</v>
      </c>
      <c r="F84" s="13" t="s">
        <v>463</v>
      </c>
      <c r="G84" s="11"/>
      <c r="H84" s="11"/>
      <c r="I84" s="14">
        <v>0</v>
      </c>
      <c r="J84" s="14">
        <v>0</v>
      </c>
      <c r="K84" s="15" t="str">
        <f>HYPERLINK("https://about.twitter.com/products/tweetdeck","TweetDeck")</f>
        <v>TweetDeck</v>
      </c>
      <c r="L84" s="14">
        <v>431182</v>
      </c>
      <c r="M84" s="14">
        <v>1551</v>
      </c>
      <c r="N84" s="14">
        <v>8205</v>
      </c>
      <c r="O84" s="19" t="s">
        <v>42</v>
      </c>
      <c r="P84" s="6">
        <v>40785.027118055557</v>
      </c>
      <c r="Q84" s="12" t="s">
        <v>119</v>
      </c>
      <c r="R84" s="17" t="s">
        <v>120</v>
      </c>
      <c r="S84" s="13" t="s">
        <v>121</v>
      </c>
      <c r="T84" s="11"/>
      <c r="U84" s="10" t="str">
        <f>HYPERLINK("https://pbs.twimg.com/profile_images/921140803422089217/ETOEUOAx.jpg","View")</f>
        <v>View</v>
      </c>
    </row>
    <row r="85" spans="1:21" ht="40.799999999999997">
      <c r="A85" s="6">
        <v>43442.551342592589</v>
      </c>
      <c r="B85" s="7" t="str">
        <f>HYPERLINK("https://twitter.com/franmeseba","@franmeseba")</f>
        <v>@franmeseba</v>
      </c>
      <c r="C85" s="8" t="s">
        <v>342</v>
      </c>
      <c r="D85" s="9" t="s">
        <v>343</v>
      </c>
      <c r="E85" s="10" t="str">
        <f>HYPERLINK("https://twitter.com/franmeseba/status/1071377334148706306","1071377334148706306")</f>
        <v>1071377334148706306</v>
      </c>
      <c r="F85" s="13" t="s">
        <v>344</v>
      </c>
      <c r="G85" s="11"/>
      <c r="H85" s="11"/>
      <c r="I85" s="14">
        <v>0</v>
      </c>
      <c r="J85" s="14">
        <v>0</v>
      </c>
      <c r="K85" s="15" t="str">
        <f t="shared" ref="K85:K87" si="16">HYPERLINK("http://twitter.com/download/android","Twitter for Android")</f>
        <v>Twitter for Android</v>
      </c>
      <c r="L85" s="14">
        <v>247</v>
      </c>
      <c r="M85" s="14">
        <v>1373</v>
      </c>
      <c r="N85" s="14">
        <v>5</v>
      </c>
      <c r="O85" s="16"/>
      <c r="P85" s="6">
        <v>40492.733391203699</v>
      </c>
      <c r="Q85" s="11"/>
      <c r="R85" s="17" t="s">
        <v>345</v>
      </c>
      <c r="S85" s="11"/>
      <c r="T85" s="11"/>
      <c r="U85" s="10" t="str">
        <f>HYPERLINK("https://pbs.twimg.com/profile_images/929385089892540417/qnFv7tyk.jpg","View")</f>
        <v>View</v>
      </c>
    </row>
    <row r="86" spans="1:21" ht="30.6">
      <c r="A86" s="6">
        <v>43442.550462962958</v>
      </c>
      <c r="B86" s="7" t="str">
        <f>HYPERLINK("https://twitter.com/GomezyRecio","@GomezyRecio")</f>
        <v>@GomezyRecio</v>
      </c>
      <c r="C86" s="8" t="s">
        <v>346</v>
      </c>
      <c r="D86" s="9" t="s">
        <v>347</v>
      </c>
      <c r="E86" s="10" t="str">
        <f>HYPERLINK("https://twitter.com/GomezyRecio/status/1071377017730420736","1071377017730420736")</f>
        <v>1071377017730420736</v>
      </c>
      <c r="F86" s="13" t="s">
        <v>348</v>
      </c>
      <c r="G86" s="11"/>
      <c r="H86" s="11"/>
      <c r="I86" s="14">
        <v>0</v>
      </c>
      <c r="J86" s="14">
        <v>1</v>
      </c>
      <c r="K86" s="15" t="str">
        <f t="shared" si="16"/>
        <v>Twitter for Android</v>
      </c>
      <c r="L86" s="14">
        <v>321</v>
      </c>
      <c r="M86" s="14">
        <v>1527</v>
      </c>
      <c r="N86" s="14">
        <v>153</v>
      </c>
      <c r="O86" s="16"/>
      <c r="P86" s="6">
        <v>40533.01498842593</v>
      </c>
      <c r="Q86" s="12" t="s">
        <v>351</v>
      </c>
      <c r="R86" s="17" t="s">
        <v>352</v>
      </c>
      <c r="S86" s="11"/>
      <c r="T86" s="11"/>
      <c r="U86" s="10" t="str">
        <f>HYPERLINK("https://pbs.twimg.com/profile_images/1777730812/Arqueria_lado_norte_San_Juan_Duero_Soria.jpg","View")</f>
        <v>View</v>
      </c>
    </row>
    <row r="87" spans="1:21" ht="51">
      <c r="A87" s="6">
        <v>43442.539467592593</v>
      </c>
      <c r="B87" s="7" t="str">
        <f>HYPERLINK("https://twitter.com/the_raven77","@the_raven77")</f>
        <v>@the_raven77</v>
      </c>
      <c r="C87" s="8" t="s">
        <v>355</v>
      </c>
      <c r="D87" s="9" t="s">
        <v>356</v>
      </c>
      <c r="E87" s="10" t="str">
        <f>HYPERLINK("https://twitter.com/the_raven77/status/1071373029580660737","1071373029580660737")</f>
        <v>1071373029580660737</v>
      </c>
      <c r="F87" s="11"/>
      <c r="G87" s="11"/>
      <c r="H87" s="11"/>
      <c r="I87" s="14">
        <v>4</v>
      </c>
      <c r="J87" s="14">
        <v>4</v>
      </c>
      <c r="K87" s="15" t="str">
        <f t="shared" si="16"/>
        <v>Twitter for Android</v>
      </c>
      <c r="L87" s="14">
        <v>2175</v>
      </c>
      <c r="M87" s="14">
        <v>509</v>
      </c>
      <c r="N87" s="14">
        <v>16</v>
      </c>
      <c r="O87" s="16"/>
      <c r="P87" s="6">
        <v>42806.550497685181</v>
      </c>
      <c r="Q87" s="12" t="s">
        <v>362</v>
      </c>
      <c r="R87" s="17" t="s">
        <v>363</v>
      </c>
      <c r="S87" s="11"/>
      <c r="T87" s="11"/>
      <c r="U87" s="10" t="str">
        <f>HYPERLINK("https://pbs.twimg.com/profile_images/1069122409117220865/_DAgbFoI.jpg","View")</f>
        <v>View</v>
      </c>
    </row>
    <row r="88" spans="1:21" ht="40.799999999999997">
      <c r="A88" s="6">
        <v>43442.537824074076</v>
      </c>
      <c r="B88" s="7" t="str">
        <f>HYPERLINK("https://twitter.com/EmilioDelgadoOr","@EmilioDelgadoOr")</f>
        <v>@EmilioDelgadoOr</v>
      </c>
      <c r="C88" s="8" t="s">
        <v>364</v>
      </c>
      <c r="D88" s="9" t="s">
        <v>365</v>
      </c>
      <c r="E88" s="10" t="str">
        <f>HYPERLINK("https://twitter.com/EmilioDelgadoOr/status/1071372436367728640","1071372436367728640")</f>
        <v>1071372436367728640</v>
      </c>
      <c r="F88" s="13" t="s">
        <v>77</v>
      </c>
      <c r="G88" s="11"/>
      <c r="H88" s="11"/>
      <c r="I88" s="14">
        <v>63</v>
      </c>
      <c r="J88" s="14">
        <v>71</v>
      </c>
      <c r="K88" s="15" t="str">
        <f>HYPERLINK("http://twitter.com/download/iphone","Twitter for iPhone")</f>
        <v>Twitter for iPhone</v>
      </c>
      <c r="L88" s="14">
        <v>5392</v>
      </c>
      <c r="M88" s="14">
        <v>869</v>
      </c>
      <c r="N88" s="14">
        <v>80</v>
      </c>
      <c r="O88" s="16"/>
      <c r="P88" s="6">
        <v>40955.647164351853</v>
      </c>
      <c r="Q88" s="11"/>
      <c r="R88" s="17" t="s">
        <v>366</v>
      </c>
      <c r="S88" s="13" t="s">
        <v>367</v>
      </c>
      <c r="T88" s="11"/>
      <c r="U88" s="10" t="str">
        <f>HYPERLINK("https://pbs.twimg.com/profile_images/1050435194988232704/YzgbGmH-.jpg","View")</f>
        <v>View</v>
      </c>
    </row>
    <row r="89" spans="1:21" ht="51">
      <c r="A89" s="6">
        <v>43442.533090277779</v>
      </c>
      <c r="B89" s="7" t="str">
        <f>HYPERLINK("https://twitter.com/CsCantabria","@CsCantabria")</f>
        <v>@CsCantabria</v>
      </c>
      <c r="C89" s="8" t="s">
        <v>370</v>
      </c>
      <c r="D89" s="9" t="s">
        <v>371</v>
      </c>
      <c r="E89" s="10" t="str">
        <f>HYPERLINK("https://twitter.com/CsCantabria/status/1071370720851169282","1071370720851169282")</f>
        <v>1071370720851169282</v>
      </c>
      <c r="F89" s="11"/>
      <c r="G89" s="13" t="s">
        <v>374</v>
      </c>
      <c r="H89" s="11"/>
      <c r="I89" s="14">
        <v>2</v>
      </c>
      <c r="J89" s="14">
        <v>2</v>
      </c>
      <c r="K89" s="15" t="str">
        <f>HYPERLINK("http://twitter.com","Twitter Web Client")</f>
        <v>Twitter Web Client</v>
      </c>
      <c r="L89" s="14">
        <v>3565</v>
      </c>
      <c r="M89" s="14">
        <v>339</v>
      </c>
      <c r="N89" s="14">
        <v>94</v>
      </c>
      <c r="O89" s="19" t="s">
        <v>42</v>
      </c>
      <c r="P89" s="6">
        <v>41731.566608796296</v>
      </c>
      <c r="Q89" s="12" t="s">
        <v>377</v>
      </c>
      <c r="R89" s="17" t="s">
        <v>378</v>
      </c>
      <c r="S89" s="13" t="s">
        <v>379</v>
      </c>
      <c r="T89" s="11"/>
      <c r="U89" s="10" t="str">
        <f>HYPERLINK("https://pbs.twimg.com/profile_images/1053571729455529984/zfGYdPdw.jpg","View")</f>
        <v>View</v>
      </c>
    </row>
    <row r="90" spans="1:21" ht="40.799999999999997">
      <c r="A90" s="6">
        <v>43442.528379629628</v>
      </c>
      <c r="B90" s="7" t="str">
        <f>HYPERLINK("https://twitter.com/jarizabaleta1","@jarizabaleta1")</f>
        <v>@jarizabaleta1</v>
      </c>
      <c r="C90" s="8" t="s">
        <v>497</v>
      </c>
      <c r="D90" s="9" t="s">
        <v>498</v>
      </c>
      <c r="E90" s="10" t="str">
        <f>HYPERLINK("https://twitter.com/jarizabaleta1/status/1071369014151143424","1071369014151143424")</f>
        <v>1071369014151143424</v>
      </c>
      <c r="F90" s="11"/>
      <c r="G90" s="11"/>
      <c r="H90" s="11"/>
      <c r="I90" s="14">
        <v>1</v>
      </c>
      <c r="J90" s="14">
        <v>4</v>
      </c>
      <c r="K90" s="15" t="str">
        <f>HYPERLINK("http://www.facebook.com/twitter","Facebook")</f>
        <v>Facebook</v>
      </c>
      <c r="L90" s="14">
        <v>2994</v>
      </c>
      <c r="M90" s="14">
        <v>143</v>
      </c>
      <c r="N90" s="14">
        <v>14</v>
      </c>
      <c r="O90" s="16"/>
      <c r="P90" s="6">
        <v>41236.140173611115</v>
      </c>
      <c r="Q90" s="12" t="s">
        <v>499</v>
      </c>
      <c r="R90" s="17" t="s">
        <v>500</v>
      </c>
      <c r="S90" s="13" t="s">
        <v>501</v>
      </c>
      <c r="T90" s="11"/>
      <c r="U90" s="10" t="str">
        <f>HYPERLINK("https://pbs.twimg.com/profile_images/1069886204705947649/sREkKppa.jpg","View")</f>
        <v>View</v>
      </c>
    </row>
    <row r="91" spans="1:21" ht="51">
      <c r="A91" s="6">
        <v>43442.526655092588</v>
      </c>
      <c r="B91" s="7" t="str">
        <f>HYPERLINK("https://twitter.com/IgnacGomaGarces","@IgnacGomaGarces")</f>
        <v>@IgnacGomaGarces</v>
      </c>
      <c r="C91" s="8" t="s">
        <v>502</v>
      </c>
      <c r="D91" s="9" t="s">
        <v>503</v>
      </c>
      <c r="E91" s="10" t="str">
        <f>HYPERLINK("https://twitter.com/IgnacGomaGarces/status/1071368390059720706","1071368390059720706")</f>
        <v>1071368390059720706</v>
      </c>
      <c r="F91" s="13" t="s">
        <v>101</v>
      </c>
      <c r="G91" s="11"/>
      <c r="H91" s="11"/>
      <c r="I91" s="14">
        <v>5</v>
      </c>
      <c r="J91" s="14">
        <v>8</v>
      </c>
      <c r="K91" s="15" t="str">
        <f>HYPERLINK("http://twitter.com/download/iphone","Twitter for iPhone")</f>
        <v>Twitter for iPhone</v>
      </c>
      <c r="L91" s="14">
        <v>1087</v>
      </c>
      <c r="M91" s="14">
        <v>467</v>
      </c>
      <c r="N91" s="14">
        <v>28</v>
      </c>
      <c r="O91" s="16"/>
      <c r="P91" s="6">
        <v>41412.962141203701</v>
      </c>
      <c r="Q91" s="11"/>
      <c r="R91" s="17" t="s">
        <v>505</v>
      </c>
      <c r="S91" s="13" t="s">
        <v>506</v>
      </c>
      <c r="T91" s="11"/>
      <c r="U91" s="10" t="str">
        <f>HYPERLINK("https://pbs.twimg.com/profile_images/1036316976422027264/MUHhBBVu.jpg","View")</f>
        <v>View</v>
      </c>
    </row>
    <row r="92" spans="1:21" ht="40.799999999999997">
      <c r="A92" s="6">
        <v>43442.523923611108</v>
      </c>
      <c r="B92" s="7" t="str">
        <f>HYPERLINK("https://twitter.com/jarizabaleta1","@jarizabaleta1")</f>
        <v>@jarizabaleta1</v>
      </c>
      <c r="C92" s="8" t="s">
        <v>497</v>
      </c>
      <c r="D92" s="9" t="s">
        <v>507</v>
      </c>
      <c r="E92" s="10" t="str">
        <f>HYPERLINK("https://twitter.com/jarizabaleta1/status/1071367397628698624","1071367397628698624")</f>
        <v>1071367397628698624</v>
      </c>
      <c r="F92" s="11"/>
      <c r="G92" s="11"/>
      <c r="H92" s="11"/>
      <c r="I92" s="14">
        <v>0</v>
      </c>
      <c r="J92" s="14">
        <v>1</v>
      </c>
      <c r="K92" s="15" t="str">
        <f>HYPERLINK("http://www.facebook.com/twitter","Facebook")</f>
        <v>Facebook</v>
      </c>
      <c r="L92" s="14">
        <v>2994</v>
      </c>
      <c r="M92" s="14">
        <v>143</v>
      </c>
      <c r="N92" s="14">
        <v>14</v>
      </c>
      <c r="O92" s="16"/>
      <c r="P92" s="6">
        <v>41236.140173611115</v>
      </c>
      <c r="Q92" s="12" t="s">
        <v>499</v>
      </c>
      <c r="R92" s="17" t="s">
        <v>500</v>
      </c>
      <c r="S92" s="13" t="s">
        <v>501</v>
      </c>
      <c r="T92" s="11"/>
      <c r="U92" s="10" t="str">
        <f>HYPERLINK("https://pbs.twimg.com/profile_images/1069886204705947649/sREkKppa.jpg","View")</f>
        <v>View</v>
      </c>
    </row>
    <row r="93" spans="1:21" ht="30.6">
      <c r="A93" s="6">
        <v>43442.521898148145</v>
      </c>
      <c r="B93" s="7" t="str">
        <f>HYPERLINK("https://twitter.com/fdocarmonamonse","@fdocarmonamonse")</f>
        <v>@fdocarmonamonse</v>
      </c>
      <c r="C93" s="8" t="s">
        <v>509</v>
      </c>
      <c r="D93" s="9" t="s">
        <v>510</v>
      </c>
      <c r="E93" s="10" t="str">
        <f>HYPERLINK("https://twitter.com/fdocarmonamonse/status/1071366663285731328","1071366663285731328")</f>
        <v>1071366663285731328</v>
      </c>
      <c r="F93" s="13" t="s">
        <v>511</v>
      </c>
      <c r="G93" s="13" t="s">
        <v>512</v>
      </c>
      <c r="H93" s="11"/>
      <c r="I93" s="14">
        <v>0</v>
      </c>
      <c r="J93" s="14">
        <v>0</v>
      </c>
      <c r="K93" s="15" t="str">
        <f>HYPERLINK("http://twitter.com","Twitter Web Client")</f>
        <v>Twitter Web Client</v>
      </c>
      <c r="L93" s="14">
        <v>3273</v>
      </c>
      <c r="M93" s="14">
        <v>2128</v>
      </c>
      <c r="N93" s="14">
        <v>68</v>
      </c>
      <c r="O93" s="16"/>
      <c r="P93" s="6">
        <v>40703.384120370371</v>
      </c>
      <c r="Q93" s="12" t="s">
        <v>515</v>
      </c>
      <c r="R93" s="17" t="s">
        <v>516</v>
      </c>
      <c r="S93" s="11"/>
      <c r="T93" s="11"/>
      <c r="U93" s="10" t="str">
        <f>HYPERLINK("https://pbs.twimg.com/profile_images/1064152514671583232/K_Vcko3U.jpg","View")</f>
        <v>View</v>
      </c>
    </row>
    <row r="94" spans="1:21" ht="40.799999999999997">
      <c r="A94" s="6">
        <v>43442.51898148148</v>
      </c>
      <c r="B94" s="7" t="str">
        <f>HYPERLINK("https://twitter.com/PartidoRepEs","@PartidoRepEs")</f>
        <v>@PartidoRepEs</v>
      </c>
      <c r="C94" s="8" t="s">
        <v>519</v>
      </c>
      <c r="D94" s="9" t="s">
        <v>520</v>
      </c>
      <c r="E94" s="10" t="str">
        <f>HYPERLINK("https://twitter.com/PartidoRepEs/status/1071365605901692929","1071365605901692929")</f>
        <v>1071365605901692929</v>
      </c>
      <c r="F94" s="11"/>
      <c r="G94" s="13" t="s">
        <v>522</v>
      </c>
      <c r="H94" s="11"/>
      <c r="I94" s="14">
        <v>0</v>
      </c>
      <c r="J94" s="14">
        <v>0</v>
      </c>
      <c r="K94" s="15" t="str">
        <f t="shared" ref="K94:K95" si="17">HYPERLINK("http://twitter.com/download/android","Twitter for Android")</f>
        <v>Twitter for Android</v>
      </c>
      <c r="L94" s="14">
        <v>4366</v>
      </c>
      <c r="M94" s="14">
        <v>4993</v>
      </c>
      <c r="N94" s="14">
        <v>25</v>
      </c>
      <c r="O94" s="16"/>
      <c r="P94" s="6">
        <v>42183.720682870371</v>
      </c>
      <c r="Q94" s="11"/>
      <c r="R94" s="17" t="s">
        <v>523</v>
      </c>
      <c r="S94" s="13" t="s">
        <v>524</v>
      </c>
      <c r="T94" s="11"/>
      <c r="U94" s="10" t="str">
        <f>HYPERLINK("https://pbs.twimg.com/profile_images/615180335417040901/p8IX-96B.jpg","View")</f>
        <v>View</v>
      </c>
    </row>
    <row r="95" spans="1:21" ht="30.6">
      <c r="A95" s="6">
        <v>43442.517858796295</v>
      </c>
      <c r="B95" s="7" t="str">
        <f>HYPERLINK("https://twitter.com/RepublicaPepe","@RepublicaPepe")</f>
        <v>@RepublicaPepe</v>
      </c>
      <c r="C95" s="8" t="s">
        <v>388</v>
      </c>
      <c r="D95" s="9" t="s">
        <v>389</v>
      </c>
      <c r="E95" s="10" t="str">
        <f>HYPERLINK("https://twitter.com/RepublicaPepe/status/1071365198756356096","1071365198756356096")</f>
        <v>1071365198756356096</v>
      </c>
      <c r="F95" s="11"/>
      <c r="G95" s="13" t="s">
        <v>390</v>
      </c>
      <c r="H95" s="11"/>
      <c r="I95" s="14">
        <v>0</v>
      </c>
      <c r="J95" s="14">
        <v>0</v>
      </c>
      <c r="K95" s="15" t="str">
        <f t="shared" si="17"/>
        <v>Twitter for Android</v>
      </c>
      <c r="L95" s="14">
        <v>60</v>
      </c>
      <c r="M95" s="14">
        <v>171</v>
      </c>
      <c r="N95" s="14">
        <v>0</v>
      </c>
      <c r="O95" s="16"/>
      <c r="P95" s="6">
        <v>43197.434421296297</v>
      </c>
      <c r="Q95" s="11"/>
      <c r="R95" s="17" t="s">
        <v>391</v>
      </c>
      <c r="S95" s="11"/>
      <c r="T95" s="11"/>
      <c r="U95" s="10" t="str">
        <f>HYPERLINK("https://pbs.twimg.com/profile_images/1052924697376116736/z-crz4_M.jpg","View")</f>
        <v>View</v>
      </c>
    </row>
    <row r="96" spans="1:21" ht="40.799999999999997">
      <c r="A96" s="6">
        <v>43442.517083333332</v>
      </c>
      <c r="B96" s="7" t="str">
        <f>HYPERLINK("https://twitter.com/Kikolovic","@Kikolovic")</f>
        <v>@Kikolovic</v>
      </c>
      <c r="C96" s="8" t="s">
        <v>529</v>
      </c>
      <c r="D96" s="9" t="s">
        <v>530</v>
      </c>
      <c r="E96" s="10" t="str">
        <f>HYPERLINK("https://twitter.com/Kikolovic/status/1071364920556564480","1071364920556564480")</f>
        <v>1071364920556564480</v>
      </c>
      <c r="F96" s="11"/>
      <c r="G96" s="11"/>
      <c r="H96" s="11"/>
      <c r="I96" s="14">
        <v>0</v>
      </c>
      <c r="J96" s="14">
        <v>0</v>
      </c>
      <c r="K96" s="15" t="str">
        <f>HYPERLINK("https://mobile.twitter.com","Twitter Lite")</f>
        <v>Twitter Lite</v>
      </c>
      <c r="L96" s="14">
        <v>265</v>
      </c>
      <c r="M96" s="14">
        <v>415</v>
      </c>
      <c r="N96" s="14">
        <v>0</v>
      </c>
      <c r="O96" s="16"/>
      <c r="P96" s="6">
        <v>40246.048067129632</v>
      </c>
      <c r="Q96" s="12" t="s">
        <v>531</v>
      </c>
      <c r="R96" s="17" t="s">
        <v>532</v>
      </c>
      <c r="S96" s="11"/>
      <c r="T96" s="11"/>
      <c r="U96" s="10" t="str">
        <f>HYPERLINK("https://pbs.twimg.com/profile_images/1030144745404854272/-vjxqzR9.jpg","View")</f>
        <v>View</v>
      </c>
    </row>
    <row r="97" spans="1:21" ht="40.799999999999997">
      <c r="A97" s="6">
        <v>43442.515127314815</v>
      </c>
      <c r="B97" s="7" t="str">
        <f>HYPERLINK("https://twitter.com/FranLopez140180","@FranLopez140180")</f>
        <v>@FranLopez140180</v>
      </c>
      <c r="C97" s="8" t="s">
        <v>533</v>
      </c>
      <c r="D97" s="9" t="s">
        <v>534</v>
      </c>
      <c r="E97" s="10" t="str">
        <f>HYPERLINK("https://twitter.com/FranLopez140180/status/1071364210557374465","1071364210557374465")</f>
        <v>1071364210557374465</v>
      </c>
      <c r="F97" s="13" t="s">
        <v>535</v>
      </c>
      <c r="G97" s="11"/>
      <c r="H97" s="11"/>
      <c r="I97" s="14">
        <v>0</v>
      </c>
      <c r="J97" s="14">
        <v>2</v>
      </c>
      <c r="K97" s="15" t="str">
        <f t="shared" ref="K97:K98" si="18">HYPERLINK("http://www.facebook.com/twitter","Facebook")</f>
        <v>Facebook</v>
      </c>
      <c r="L97" s="14">
        <v>2657</v>
      </c>
      <c r="M97" s="14">
        <v>4990</v>
      </c>
      <c r="N97" s="14">
        <v>48</v>
      </c>
      <c r="O97" s="16"/>
      <c r="P97" s="6">
        <v>42068.010092592594</v>
      </c>
      <c r="Q97" s="12" t="s">
        <v>536</v>
      </c>
      <c r="R97" s="17" t="s">
        <v>537</v>
      </c>
      <c r="S97" s="11"/>
      <c r="T97" s="11"/>
      <c r="U97" s="10" t="str">
        <f>HYPERLINK("https://pbs.twimg.com/profile_images/979302607184388096/v04lKeRb.jpg","View")</f>
        <v>View</v>
      </c>
    </row>
    <row r="98" spans="1:21" ht="20.399999999999999">
      <c r="A98" s="6">
        <v>43442.514930555553</v>
      </c>
      <c r="B98" s="7" t="str">
        <f>HYPERLINK("https://twitter.com/peanma10","@peanma10")</f>
        <v>@peanma10</v>
      </c>
      <c r="C98" s="8" t="s">
        <v>538</v>
      </c>
      <c r="D98" s="9" t="s">
        <v>225</v>
      </c>
      <c r="E98" s="10" t="str">
        <f>HYPERLINK("https://twitter.com/peanma10/status/1071364139476504577","1071364139476504577")</f>
        <v>1071364139476504577</v>
      </c>
      <c r="F98" s="13" t="s">
        <v>228</v>
      </c>
      <c r="G98" s="11"/>
      <c r="H98" s="11"/>
      <c r="I98" s="14">
        <v>1</v>
      </c>
      <c r="J98" s="14">
        <v>0</v>
      </c>
      <c r="K98" s="15" t="str">
        <f t="shared" si="18"/>
        <v>Facebook</v>
      </c>
      <c r="L98" s="14">
        <v>400</v>
      </c>
      <c r="M98" s="14">
        <v>834</v>
      </c>
      <c r="N98" s="14">
        <v>6</v>
      </c>
      <c r="O98" s="16"/>
      <c r="P98" s="6">
        <v>40660.437210648146</v>
      </c>
      <c r="Q98" s="11"/>
      <c r="R98" s="18"/>
      <c r="S98" s="11"/>
      <c r="T98" s="11"/>
      <c r="U98" s="10" t="str">
        <f>HYPERLINK("https://pbs.twimg.com/profile_images/2655656189/a77e3b237c977890534f65ad6ccbda6b.jpeg","View")</f>
        <v>View</v>
      </c>
    </row>
    <row r="99" spans="1:21" ht="51">
      <c r="A99" s="6">
        <v>43442.513761574075</v>
      </c>
      <c r="B99" s="7" t="str">
        <f>HYPERLINK("https://twitter.com/eclementen","@eclementen")</f>
        <v>@eclementen</v>
      </c>
      <c r="C99" s="8" t="s">
        <v>267</v>
      </c>
      <c r="D99" s="9" t="s">
        <v>542</v>
      </c>
      <c r="E99" s="10" t="str">
        <f>HYPERLINK("https://twitter.com/eclementen/status/1071363715096809473","1071363715096809473")</f>
        <v>1071363715096809473</v>
      </c>
      <c r="F99" s="13" t="s">
        <v>412</v>
      </c>
      <c r="G99" s="11"/>
      <c r="H99" s="11"/>
      <c r="I99" s="14">
        <v>0</v>
      </c>
      <c r="J99" s="14">
        <v>0</v>
      </c>
      <c r="K99" s="15" t="str">
        <f t="shared" ref="K99:K100" si="19">HYPERLINK("http://twitter.com","Twitter Web Client")</f>
        <v>Twitter Web Client</v>
      </c>
      <c r="L99" s="14">
        <v>2211</v>
      </c>
      <c r="M99" s="14">
        <v>849</v>
      </c>
      <c r="N99" s="14">
        <v>67</v>
      </c>
      <c r="O99" s="16"/>
      <c r="P99" s="6">
        <v>40833.776261574072</v>
      </c>
      <c r="Q99" s="11"/>
      <c r="R99" s="17" t="s">
        <v>272</v>
      </c>
      <c r="S99" s="11"/>
      <c r="T99" s="11"/>
      <c r="U99" s="10" t="str">
        <f>HYPERLINK("https://pbs.twimg.com/profile_images/1026496915016507394/PchQaO9K.jpg","View")</f>
        <v>View</v>
      </c>
    </row>
    <row r="100" spans="1:21" ht="30.6">
      <c r="A100" s="6">
        <v>43442.511493055557</v>
      </c>
      <c r="B100" s="7" t="str">
        <f>HYPERLINK("https://twitter.com/bizarroyraro","@bizarroyraro")</f>
        <v>@bizarroyraro</v>
      </c>
      <c r="C100" s="8" t="s">
        <v>545</v>
      </c>
      <c r="D100" s="9" t="s">
        <v>547</v>
      </c>
      <c r="E100" s="10" t="str">
        <f>HYPERLINK("https://twitter.com/bizarroyraro/status/1071362893730451456","1071362893730451456")</f>
        <v>1071362893730451456</v>
      </c>
      <c r="F100" s="11"/>
      <c r="G100" s="11"/>
      <c r="H100" s="11"/>
      <c r="I100" s="14">
        <v>0</v>
      </c>
      <c r="J100" s="14">
        <v>0</v>
      </c>
      <c r="K100" s="15" t="str">
        <f t="shared" si="19"/>
        <v>Twitter Web Client</v>
      </c>
      <c r="L100" s="14">
        <v>2210</v>
      </c>
      <c r="M100" s="14">
        <v>1487</v>
      </c>
      <c r="N100" s="14">
        <v>34</v>
      </c>
      <c r="O100" s="16"/>
      <c r="P100" s="6">
        <v>41597.834837962961</v>
      </c>
      <c r="Q100" s="12" t="s">
        <v>549</v>
      </c>
      <c r="R100" s="17" t="s">
        <v>550</v>
      </c>
      <c r="S100" s="11"/>
      <c r="T100" s="11"/>
      <c r="U100" s="10" t="str">
        <f>HYPERLINK("https://pbs.twimg.com/profile_images/1071004135074480129/n9xdOFoW.jpg","View")</f>
        <v>View</v>
      </c>
    </row>
    <row r="101" spans="1:21" ht="30.6">
      <c r="A101" s="6">
        <v>43442.509305555555</v>
      </c>
      <c r="B101" s="7" t="str">
        <f>HYPERLINK("https://twitter.com/aperezboix","@aperezboix")</f>
        <v>@aperezboix</v>
      </c>
      <c r="C101" s="8" t="s">
        <v>552</v>
      </c>
      <c r="D101" s="9" t="s">
        <v>554</v>
      </c>
      <c r="E101" s="10" t="str">
        <f>HYPERLINK("https://twitter.com/aperezboix/status/1071362102978338817","1071362102978338817")</f>
        <v>1071362102978338817</v>
      </c>
      <c r="F101" s="13" t="s">
        <v>555</v>
      </c>
      <c r="G101" s="11"/>
      <c r="H101" s="11"/>
      <c r="I101" s="14">
        <v>1</v>
      </c>
      <c r="J101" s="14">
        <v>0</v>
      </c>
      <c r="K101" s="15" t="str">
        <f>HYPERLINK("http://www.facebook.com/twitter","Facebook")</f>
        <v>Facebook</v>
      </c>
      <c r="L101" s="14">
        <v>2764</v>
      </c>
      <c r="M101" s="14">
        <v>975</v>
      </c>
      <c r="N101" s="14">
        <v>43</v>
      </c>
      <c r="O101" s="16"/>
      <c r="P101" s="6">
        <v>40147.672974537039</v>
      </c>
      <c r="Q101" s="12" t="s">
        <v>556</v>
      </c>
      <c r="R101" s="17" t="s">
        <v>557</v>
      </c>
      <c r="S101" s="13" t="s">
        <v>558</v>
      </c>
      <c r="T101" s="11"/>
      <c r="U101" s="10" t="str">
        <f>HYPERLINK("https://pbs.twimg.com/profile_images/1065001697964146690/mhYE9hGv.jpg","View")</f>
        <v>View</v>
      </c>
    </row>
    <row r="102" spans="1:21" ht="81.599999999999994">
      <c r="A102" s="6">
        <v>43442.508981481486</v>
      </c>
      <c r="B102" s="7" t="str">
        <f>HYPERLINK("https://twitter.com/RepublicaPepe","@RepublicaPepe")</f>
        <v>@RepublicaPepe</v>
      </c>
      <c r="C102" s="8" t="s">
        <v>388</v>
      </c>
      <c r="D102" s="9" t="s">
        <v>392</v>
      </c>
      <c r="E102" s="10" t="str">
        <f>HYPERLINK("https://twitter.com/RepublicaPepe/status/1071361984652824577","1071361984652824577")</f>
        <v>1071361984652824577</v>
      </c>
      <c r="F102" s="13" t="s">
        <v>393</v>
      </c>
      <c r="G102" s="13" t="s">
        <v>394</v>
      </c>
      <c r="H102" s="11"/>
      <c r="I102" s="14">
        <v>0</v>
      </c>
      <c r="J102" s="14">
        <v>0</v>
      </c>
      <c r="K102" s="15" t="str">
        <f>HYPERLINK("http://twitter.com/download/android","Twitter for Android")</f>
        <v>Twitter for Android</v>
      </c>
      <c r="L102" s="14">
        <v>60</v>
      </c>
      <c r="M102" s="14">
        <v>171</v>
      </c>
      <c r="N102" s="14">
        <v>0</v>
      </c>
      <c r="O102" s="16"/>
      <c r="P102" s="6">
        <v>43197.434421296297</v>
      </c>
      <c r="Q102" s="11"/>
      <c r="R102" s="17" t="s">
        <v>391</v>
      </c>
      <c r="S102" s="11"/>
      <c r="T102" s="11"/>
      <c r="U102" s="10" t="str">
        <f>HYPERLINK("https://pbs.twimg.com/profile_images/1052924697376116736/z-crz4_M.jpg","View")</f>
        <v>View</v>
      </c>
    </row>
    <row r="103" spans="1:21" ht="40.799999999999997">
      <c r="A103" s="6">
        <v>43442.508645833332</v>
      </c>
      <c r="B103" s="7" t="str">
        <f>HYPERLINK("https://twitter.com/salvadorpastorb","@salvadorpastorb")</f>
        <v>@salvadorpastorb</v>
      </c>
      <c r="C103" s="8" t="s">
        <v>564</v>
      </c>
      <c r="D103" s="9" t="s">
        <v>46</v>
      </c>
      <c r="E103" s="10" t="str">
        <f>HYPERLINK("https://twitter.com/salvadorpastorb/status/1071361863605280768","1071361863605280768")</f>
        <v>1071361863605280768</v>
      </c>
      <c r="F103" s="13" t="s">
        <v>47</v>
      </c>
      <c r="G103" s="11"/>
      <c r="H103" s="11"/>
      <c r="I103" s="14">
        <v>0</v>
      </c>
      <c r="J103" s="14">
        <v>0</v>
      </c>
      <c r="K103" s="15" t="str">
        <f>HYPERLINK("http://twitter.com","Twitter Web Client")</f>
        <v>Twitter Web Client</v>
      </c>
      <c r="L103" s="14">
        <v>1845</v>
      </c>
      <c r="M103" s="14">
        <v>4998</v>
      </c>
      <c r="N103" s="14">
        <v>49</v>
      </c>
      <c r="O103" s="16"/>
      <c r="P103" s="6">
        <v>40972.034629629634</v>
      </c>
      <c r="Q103" s="12" t="s">
        <v>137</v>
      </c>
      <c r="R103" s="17" t="s">
        <v>566</v>
      </c>
      <c r="S103" s="13" t="s">
        <v>567</v>
      </c>
      <c r="T103" s="11"/>
      <c r="U103" s="10" t="str">
        <f>HYPERLINK("https://pbs.twimg.com/profile_images/1872162133/Imagen__4_.jpg","View")</f>
        <v>View</v>
      </c>
    </row>
    <row r="104" spans="1:21" ht="20.399999999999999">
      <c r="A104" s="6">
        <v>43442.50708333333</v>
      </c>
      <c r="B104" s="7" t="str">
        <f>HYPERLINK("https://twitter.com/myolande70","@myolande70")</f>
        <v>@myolande70</v>
      </c>
      <c r="C104" s="8" t="s">
        <v>395</v>
      </c>
      <c r="D104" s="9" t="s">
        <v>396</v>
      </c>
      <c r="E104" s="10" t="str">
        <f>HYPERLINK("https://twitter.com/myolande70/status/1071361297319628800","1071361297319628800")</f>
        <v>1071361297319628800</v>
      </c>
      <c r="F104" s="13" t="s">
        <v>397</v>
      </c>
      <c r="G104" s="11"/>
      <c r="H104" s="11"/>
      <c r="I104" s="14">
        <v>0</v>
      </c>
      <c r="J104" s="14">
        <v>0</v>
      </c>
      <c r="K104" s="15" t="str">
        <f>HYPERLINK("http://twitter.com/download/android","Twitter for Android")</f>
        <v>Twitter for Android</v>
      </c>
      <c r="L104" s="14">
        <v>115</v>
      </c>
      <c r="M104" s="14">
        <v>165</v>
      </c>
      <c r="N104" s="14">
        <v>0</v>
      </c>
      <c r="O104" s="16"/>
      <c r="P104" s="6">
        <v>41792.704907407409</v>
      </c>
      <c r="Q104" s="12" t="s">
        <v>137</v>
      </c>
      <c r="R104" s="17" t="s">
        <v>398</v>
      </c>
      <c r="S104" s="11"/>
      <c r="T104" s="11"/>
      <c r="U104" s="10" t="str">
        <f>HYPERLINK("https://pbs.twimg.com/profile_images/1040366125996023808/juYrVNSn.jpg","View")</f>
        <v>View</v>
      </c>
    </row>
    <row r="105" spans="1:21" ht="61.2">
      <c r="A105" s="6">
        <v>43442.505636574075</v>
      </c>
      <c r="B105" s="7" t="str">
        <f>HYPERLINK("https://twitter.com/KRLS_0","@KRLS_0")</f>
        <v>@KRLS_0</v>
      </c>
      <c r="C105" s="8" t="s">
        <v>403</v>
      </c>
      <c r="D105" s="9" t="s">
        <v>404</v>
      </c>
      <c r="E105" s="10" t="str">
        <f>HYPERLINK("https://twitter.com/KRLS_0/status/1071360772280852480","1071360772280852480")</f>
        <v>1071360772280852480</v>
      </c>
      <c r="F105" s="11"/>
      <c r="G105" s="13" t="s">
        <v>407</v>
      </c>
      <c r="H105" s="11"/>
      <c r="I105" s="14">
        <v>0</v>
      </c>
      <c r="J105" s="14">
        <v>1</v>
      </c>
      <c r="K105" s="15" t="str">
        <f>HYPERLINK("https://mobile.twitter.com","Twitter Lite")</f>
        <v>Twitter Lite</v>
      </c>
      <c r="L105" s="14">
        <v>26</v>
      </c>
      <c r="M105" s="14">
        <v>22</v>
      </c>
      <c r="N105" s="14">
        <v>0</v>
      </c>
      <c r="O105" s="16"/>
      <c r="P105" s="6">
        <v>43064.097650462965</v>
      </c>
      <c r="Q105" s="12" t="s">
        <v>137</v>
      </c>
      <c r="R105" s="17" t="s">
        <v>411</v>
      </c>
      <c r="S105" s="11"/>
      <c r="T105" s="11"/>
      <c r="U105" s="10" t="str">
        <f>HYPERLINK("https://pbs.twimg.com/profile_images/1021183585481617410/p5QGShxw.jpg","View")</f>
        <v>View</v>
      </c>
    </row>
    <row r="106" spans="1:21" ht="30.6">
      <c r="A106" s="6">
        <v>43442.502222222218</v>
      </c>
      <c r="B106" s="7" t="str">
        <f>HYPERLINK("https://twitter.com/CastigoBuena","@CastigoBuena")</f>
        <v>@CastigoBuena</v>
      </c>
      <c r="C106" s="8" t="s">
        <v>415</v>
      </c>
      <c r="D106" s="9" t="s">
        <v>416</v>
      </c>
      <c r="E106" s="10" t="str">
        <f>HYPERLINK("https://twitter.com/CastigoBuena/status/1071359535082860544","1071359535082860544")</f>
        <v>1071359535082860544</v>
      </c>
      <c r="F106" s="13" t="s">
        <v>419</v>
      </c>
      <c r="G106" s="11"/>
      <c r="H106" s="11"/>
      <c r="I106" s="14">
        <v>0</v>
      </c>
      <c r="J106" s="14">
        <v>0</v>
      </c>
      <c r="K106" s="15" t="str">
        <f>HYPERLINK("http://twitter.com/download/android","Twitter for Android")</f>
        <v>Twitter for Android</v>
      </c>
      <c r="L106" s="14">
        <v>304</v>
      </c>
      <c r="M106" s="14">
        <v>669</v>
      </c>
      <c r="N106" s="14">
        <v>10</v>
      </c>
      <c r="O106" s="16"/>
      <c r="P106" s="6">
        <v>42601.736354166671</v>
      </c>
      <c r="Q106" s="12" t="s">
        <v>422</v>
      </c>
      <c r="R106" s="17" t="s">
        <v>423</v>
      </c>
      <c r="S106" s="11"/>
      <c r="T106" s="11"/>
      <c r="U106" s="10" t="str">
        <f>HYPERLINK("https://pbs.twimg.com/profile_images/1030494895927189504/gnwHwGXu.jpg","View")</f>
        <v>View</v>
      </c>
    </row>
    <row r="107" spans="1:21" ht="51">
      <c r="A107" s="6">
        <v>43442.501030092593</v>
      </c>
      <c r="B107" s="7" t="str">
        <f>HYPERLINK("https://twitter.com/Paquita_R","@Paquita_R")</f>
        <v>@Paquita_R</v>
      </c>
      <c r="C107" s="8" t="s">
        <v>576</v>
      </c>
      <c r="D107" s="9" t="s">
        <v>577</v>
      </c>
      <c r="E107" s="10" t="str">
        <f>HYPERLINK("https://twitter.com/Paquita_R/status/1071359100531945474","1071359100531945474")</f>
        <v>1071359100531945474</v>
      </c>
      <c r="F107" s="12" t="s">
        <v>578</v>
      </c>
      <c r="G107" s="11"/>
      <c r="H107" s="11"/>
      <c r="I107" s="14">
        <v>0</v>
      </c>
      <c r="J107" s="14">
        <v>1</v>
      </c>
      <c r="K107" s="15" t="str">
        <f>HYPERLINK("http://twitter.com","Twitter Web Client")</f>
        <v>Twitter Web Client</v>
      </c>
      <c r="L107" s="14">
        <v>83</v>
      </c>
      <c r="M107" s="14">
        <v>369</v>
      </c>
      <c r="N107" s="14">
        <v>1</v>
      </c>
      <c r="O107" s="16"/>
      <c r="P107" s="6">
        <v>40174.983449074076</v>
      </c>
      <c r="Q107" s="12" t="s">
        <v>29</v>
      </c>
      <c r="R107" s="18"/>
      <c r="S107" s="11"/>
      <c r="T107" s="11"/>
      <c r="U107" s="10" t="str">
        <f>HYPERLINK("https://pbs.twimg.com/profile_images/1067916239484436480/NAudR-HG.jpg","View")</f>
        <v>View</v>
      </c>
    </row>
    <row r="108" spans="1:21" ht="20.399999999999999">
      <c r="A108" s="6">
        <v>43442.499479166669</v>
      </c>
      <c r="B108" s="7" t="str">
        <f>HYPERLINK("https://twitter.com/boroscq","@boroscq")</f>
        <v>@boroscq</v>
      </c>
      <c r="C108" s="8" t="s">
        <v>582</v>
      </c>
      <c r="D108" s="9" t="s">
        <v>584</v>
      </c>
      <c r="E108" s="10" t="str">
        <f>HYPERLINK("https://twitter.com/boroscq/status/1071358540156190720","1071358540156190720")</f>
        <v>1071358540156190720</v>
      </c>
      <c r="F108" s="13" t="s">
        <v>585</v>
      </c>
      <c r="G108" s="11"/>
      <c r="H108" s="11"/>
      <c r="I108" s="14">
        <v>0</v>
      </c>
      <c r="J108" s="14">
        <v>1</v>
      </c>
      <c r="K108" s="15" t="str">
        <f>HYPERLINK("http://www.facebook.com/twitter","Facebook")</f>
        <v>Facebook</v>
      </c>
      <c r="L108" s="14">
        <v>241</v>
      </c>
      <c r="M108" s="14">
        <v>147</v>
      </c>
      <c r="N108" s="14">
        <v>22</v>
      </c>
      <c r="O108" s="16"/>
      <c r="P108" s="6">
        <v>40082.631307870368</v>
      </c>
      <c r="Q108" s="12" t="s">
        <v>586</v>
      </c>
      <c r="R108" s="17" t="s">
        <v>587</v>
      </c>
      <c r="S108" s="13" t="s">
        <v>588</v>
      </c>
      <c r="T108" s="11"/>
      <c r="U108" s="10" t="str">
        <f>HYPERLINK("https://pbs.twimg.com/profile_images/1031316357579718656/_isIg6h7.jpg","View")</f>
        <v>View</v>
      </c>
    </row>
    <row r="109" spans="1:21" ht="40.799999999999997">
      <c r="A109" s="6">
        <v>43442.497164351851</v>
      </c>
      <c r="B109" s="7" t="str">
        <f>HYPERLINK("https://twitter.com/nosurrender79","@nosurrender79")</f>
        <v>@nosurrender79</v>
      </c>
      <c r="C109" s="8" t="s">
        <v>424</v>
      </c>
      <c r="D109" s="9" t="s">
        <v>425</v>
      </c>
      <c r="E109" s="10" t="str">
        <f>HYPERLINK("https://twitter.com/nosurrender79/status/1071357699164700673","1071357699164700673")</f>
        <v>1071357699164700673</v>
      </c>
      <c r="F109" s="11"/>
      <c r="G109" s="11"/>
      <c r="H109" s="11"/>
      <c r="I109" s="14">
        <v>0</v>
      </c>
      <c r="J109" s="14">
        <v>0</v>
      </c>
      <c r="K109" s="15" t="str">
        <f t="shared" ref="K109:K110" si="20">HYPERLINK("http://twitter.com/download/android","Twitter for Android")</f>
        <v>Twitter for Android</v>
      </c>
      <c r="L109" s="14">
        <v>134</v>
      </c>
      <c r="M109" s="14">
        <v>1006</v>
      </c>
      <c r="N109" s="14">
        <v>6</v>
      </c>
      <c r="O109" s="16"/>
      <c r="P109" s="6">
        <v>40494.950995370367</v>
      </c>
      <c r="Q109" s="12" t="s">
        <v>428</v>
      </c>
      <c r="R109" s="17" t="s">
        <v>429</v>
      </c>
      <c r="S109" s="11"/>
      <c r="T109" s="11"/>
      <c r="U109" s="10" t="str">
        <f>HYPERLINK("https://pbs.twimg.com/profile_images/517784054759165953/kxKEUpDU.jpeg","View")</f>
        <v>View</v>
      </c>
    </row>
    <row r="110" spans="1:21" ht="30.6">
      <c r="A110" s="6">
        <v>43442.484803240739</v>
      </c>
      <c r="B110" s="7" t="str">
        <f>HYPERLINK("https://twitter.com/MikLumbreras","@MikLumbreras")</f>
        <v>@MikLumbreras</v>
      </c>
      <c r="C110" s="8" t="s">
        <v>593</v>
      </c>
      <c r="D110" s="9" t="s">
        <v>594</v>
      </c>
      <c r="E110" s="10" t="str">
        <f>HYPERLINK("https://twitter.com/MikLumbreras/status/1071353221061533696","1071353221061533696")</f>
        <v>1071353221061533696</v>
      </c>
      <c r="F110" s="11"/>
      <c r="G110" s="11"/>
      <c r="H110" s="11"/>
      <c r="I110" s="14">
        <v>0</v>
      </c>
      <c r="J110" s="14">
        <v>0</v>
      </c>
      <c r="K110" s="15" t="str">
        <f t="shared" si="20"/>
        <v>Twitter for Android</v>
      </c>
      <c r="L110" s="14">
        <v>226</v>
      </c>
      <c r="M110" s="14">
        <v>267</v>
      </c>
      <c r="N110" s="14">
        <v>0</v>
      </c>
      <c r="O110" s="16"/>
      <c r="P110" s="6">
        <v>40902.813101851854</v>
      </c>
      <c r="Q110" s="12" t="s">
        <v>597</v>
      </c>
      <c r="R110" s="17" t="s">
        <v>598</v>
      </c>
      <c r="S110" s="13" t="s">
        <v>599</v>
      </c>
      <c r="T110" s="11"/>
      <c r="U110" s="10" t="str">
        <f>HYPERLINK("https://pbs.twimg.com/profile_images/1045186174929825794/yr3FrGKE.jpg","View")</f>
        <v>View</v>
      </c>
    </row>
    <row r="111" spans="1:21" ht="51">
      <c r="A111" s="6">
        <v>43442.479328703703</v>
      </c>
      <c r="B111" s="7" t="str">
        <f>HYPERLINK("https://twitter.com/cspescados","@cspescados")</f>
        <v>@cspescados</v>
      </c>
      <c r="C111" s="8" t="s">
        <v>600</v>
      </c>
      <c r="D111" s="9" t="s">
        <v>601</v>
      </c>
      <c r="E111" s="10" t="str">
        <f>HYPERLINK("https://twitter.com/cspescados/status/1071351238380412929","1071351238380412929")</f>
        <v>1071351238380412929</v>
      </c>
      <c r="F111" s="12" t="s">
        <v>604</v>
      </c>
      <c r="G111" s="13" t="s">
        <v>605</v>
      </c>
      <c r="H111" s="11"/>
      <c r="I111" s="14">
        <v>51</v>
      </c>
      <c r="J111" s="14">
        <v>60</v>
      </c>
      <c r="K111" s="15" t="str">
        <f>HYPERLINK("https://about.twitter.com/products/tweetdeck","TweetDeck")</f>
        <v>TweetDeck</v>
      </c>
      <c r="L111" s="14">
        <v>14978</v>
      </c>
      <c r="M111" s="14">
        <v>818</v>
      </c>
      <c r="N111" s="14">
        <v>128</v>
      </c>
      <c r="O111" s="16"/>
      <c r="P111" s="6">
        <v>42097.732581018514</v>
      </c>
      <c r="Q111" s="12" t="s">
        <v>606</v>
      </c>
      <c r="R111" s="17" t="s">
        <v>607</v>
      </c>
      <c r="S111" s="13" t="s">
        <v>608</v>
      </c>
      <c r="T111" s="11"/>
      <c r="U111" s="10" t="str">
        <f>HYPERLINK("https://pbs.twimg.com/profile_images/600268890959126528/aC9kvTK_.jpg","View")</f>
        <v>View</v>
      </c>
    </row>
    <row r="112" spans="1:21" ht="20.399999999999999">
      <c r="A112" s="6">
        <v>43442.476111111115</v>
      </c>
      <c r="B112" s="7" t="str">
        <f>HYPERLINK("https://twitter.com/andresdiaz0811","@andresdiaz0811")</f>
        <v>@andresdiaz0811</v>
      </c>
      <c r="C112" s="8" t="s">
        <v>611</v>
      </c>
      <c r="D112" s="9" t="s">
        <v>612</v>
      </c>
      <c r="E112" s="10" t="str">
        <f>HYPERLINK("https://twitter.com/andresdiaz0811/status/1071350071516635136","1071350071516635136")</f>
        <v>1071350071516635136</v>
      </c>
      <c r="F112" s="11"/>
      <c r="G112" s="11"/>
      <c r="H112" s="11"/>
      <c r="I112" s="14">
        <v>0</v>
      </c>
      <c r="J112" s="14">
        <v>0</v>
      </c>
      <c r="K112" s="15" t="str">
        <f>HYPERLINK("http://twitter.com/download/android","Twitter for Android")</f>
        <v>Twitter for Android</v>
      </c>
      <c r="L112" s="14">
        <v>11</v>
      </c>
      <c r="M112" s="14">
        <v>21</v>
      </c>
      <c r="N112" s="14">
        <v>0</v>
      </c>
      <c r="O112" s="16"/>
      <c r="P112" s="6">
        <v>43024.898854166662</v>
      </c>
      <c r="Q112" s="12" t="s">
        <v>614</v>
      </c>
      <c r="R112" s="17" t="s">
        <v>615</v>
      </c>
      <c r="S112" s="11"/>
      <c r="T112" s="11"/>
      <c r="U112" s="10" t="str">
        <f>HYPERLINK("https://pbs.twimg.com/profile_images/948199819478224896/r5iEDXqo.jpg","View")</f>
        <v>View</v>
      </c>
    </row>
    <row r="113" spans="1:21" ht="20.399999999999999">
      <c r="A113" s="6">
        <v>43442.475729166668</v>
      </c>
      <c r="B113" s="7" t="str">
        <f>HYPERLINK("https://twitter.com/PBMarbeMalaga","@PBMarbeMalaga")</f>
        <v>@PBMarbeMalaga</v>
      </c>
      <c r="C113" s="8" t="s">
        <v>618</v>
      </c>
      <c r="D113" s="9" t="s">
        <v>619</v>
      </c>
      <c r="E113" s="10" t="str">
        <f>HYPERLINK("https://twitter.com/PBMarbeMalaga/status/1071349934740385792","1071349934740385792")</f>
        <v>1071349934740385792</v>
      </c>
      <c r="F113" s="13" t="s">
        <v>620</v>
      </c>
      <c r="G113" s="11"/>
      <c r="H113" s="11"/>
      <c r="I113" s="14">
        <v>0</v>
      </c>
      <c r="J113" s="14">
        <v>0</v>
      </c>
      <c r="K113" s="15" t="str">
        <f>HYPERLINK("https://javitang.ddns.net","PBMarbeMalaga")</f>
        <v>PBMarbeMalaga</v>
      </c>
      <c r="L113" s="14">
        <v>1316</v>
      </c>
      <c r="M113" s="14">
        <v>1358</v>
      </c>
      <c r="N113" s="14">
        <v>2</v>
      </c>
      <c r="O113" s="16"/>
      <c r="P113" s="6">
        <v>43149.814074074078</v>
      </c>
      <c r="Q113" s="12" t="s">
        <v>621</v>
      </c>
      <c r="R113" s="17" t="s">
        <v>622</v>
      </c>
      <c r="S113" s="11"/>
      <c r="T113" s="11"/>
      <c r="U113" s="10" t="str">
        <f>HYPERLINK("https://pbs.twimg.com/profile_images/965296691145531392/sAFnfUu2.jpg","View")</f>
        <v>View</v>
      </c>
    </row>
    <row r="114" spans="1:21" ht="20.399999999999999">
      <c r="A114" s="6">
        <v>43442.474953703699</v>
      </c>
      <c r="B114" s="7" t="str">
        <f>HYPERLINK("https://twitter.com/GustavoUgarte7","@GustavoUgarte7")</f>
        <v>@GustavoUgarte7</v>
      </c>
      <c r="C114" s="8" t="s">
        <v>624</v>
      </c>
      <c r="D114" s="9" t="s">
        <v>625</v>
      </c>
      <c r="E114" s="10" t="str">
        <f>HYPERLINK("https://twitter.com/GustavoUgarte7/status/1071349652908335104","1071349652908335104")</f>
        <v>1071349652908335104</v>
      </c>
      <c r="F114" s="13" t="s">
        <v>101</v>
      </c>
      <c r="G114" s="11"/>
      <c r="H114" s="11"/>
      <c r="I114" s="14">
        <v>1</v>
      </c>
      <c r="J114" s="14">
        <v>1</v>
      </c>
      <c r="K114" s="15" t="str">
        <f>HYPERLINK("https://mobile.twitter.com","Twitter Lite")</f>
        <v>Twitter Lite</v>
      </c>
      <c r="L114" s="14">
        <v>130</v>
      </c>
      <c r="M114" s="14">
        <v>433</v>
      </c>
      <c r="N114" s="14">
        <v>2</v>
      </c>
      <c r="O114" s="16"/>
      <c r="P114" s="6">
        <v>42955.674155092594</v>
      </c>
      <c r="Q114" s="12" t="s">
        <v>627</v>
      </c>
      <c r="R114" s="17" t="s">
        <v>628</v>
      </c>
      <c r="S114" s="11"/>
      <c r="T114" s="11"/>
      <c r="U114" s="10" t="str">
        <f>HYPERLINK("https://pbs.twimg.com/profile_images/894996239107977218/BRtCfmGl.jpg","View")</f>
        <v>View</v>
      </c>
    </row>
    <row r="115" spans="1:21" ht="102">
      <c r="A115" s="6">
        <v>43442.47446759259</v>
      </c>
      <c r="B115" s="7" t="str">
        <f>HYPERLINK("https://twitter.com/joseman52","@joseman52")</f>
        <v>@joseman52</v>
      </c>
      <c r="C115" s="8" t="s">
        <v>432</v>
      </c>
      <c r="D115" s="9" t="s">
        <v>434</v>
      </c>
      <c r="E115" s="10" t="str">
        <f>HYPERLINK("https://twitter.com/joseman52/status/1071349475904512000","1071349475904512000")</f>
        <v>1071349475904512000</v>
      </c>
      <c r="F115" s="13" t="s">
        <v>435</v>
      </c>
      <c r="G115" s="13" t="s">
        <v>436</v>
      </c>
      <c r="H115" s="11"/>
      <c r="I115" s="14">
        <v>0</v>
      </c>
      <c r="J115" s="14">
        <v>0</v>
      </c>
      <c r="K115" s="15" t="str">
        <f>HYPERLINK("http://twitter.com/download/iphone","Twitter for iPhone")</f>
        <v>Twitter for iPhone</v>
      </c>
      <c r="L115" s="14">
        <v>2291</v>
      </c>
      <c r="M115" s="14">
        <v>2143</v>
      </c>
      <c r="N115" s="14">
        <v>118</v>
      </c>
      <c r="O115" s="16"/>
      <c r="P115" s="6">
        <v>41066.081307870372</v>
      </c>
      <c r="Q115" s="12" t="s">
        <v>204</v>
      </c>
      <c r="R115" s="17" t="s">
        <v>437</v>
      </c>
      <c r="S115" s="11"/>
      <c r="T115" s="11"/>
      <c r="U115" s="10" t="str">
        <f>HYPERLINK("https://pbs.twimg.com/profile_images/3198137873/a6a62ca591734d8cf8d4a40ef5a4507b.jpeg","View")</f>
        <v>View</v>
      </c>
    </row>
    <row r="116" spans="1:21" ht="61.2">
      <c r="A116" s="6">
        <v>43442.470532407402</v>
      </c>
      <c r="B116" s="7" t="str">
        <f>HYPERLINK("https://twitter.com/juance","@juance")</f>
        <v>@juance</v>
      </c>
      <c r="C116" s="8" t="s">
        <v>438</v>
      </c>
      <c r="D116" s="9" t="s">
        <v>439</v>
      </c>
      <c r="E116" s="10" t="str">
        <f>HYPERLINK("https://twitter.com/juance/status/1071348052089290752","1071348052089290752")</f>
        <v>1071348052089290752</v>
      </c>
      <c r="F116" s="11"/>
      <c r="G116" s="11"/>
      <c r="H116" s="11"/>
      <c r="I116" s="14">
        <v>0</v>
      </c>
      <c r="J116" s="14">
        <v>0</v>
      </c>
      <c r="K116" s="15" t="str">
        <f>HYPERLINK("http://twitter.com","Twitter Web Client")</f>
        <v>Twitter Web Client</v>
      </c>
      <c r="L116" s="14">
        <v>3108</v>
      </c>
      <c r="M116" s="14">
        <v>1850</v>
      </c>
      <c r="N116" s="14">
        <v>82</v>
      </c>
      <c r="O116" s="16"/>
      <c r="P116" s="6">
        <v>39197.622777777782</v>
      </c>
      <c r="Q116" s="12" t="s">
        <v>440</v>
      </c>
      <c r="R116" s="17" t="s">
        <v>441</v>
      </c>
      <c r="S116" s="13" t="s">
        <v>442</v>
      </c>
      <c r="T116" s="11"/>
      <c r="U116" s="10" t="str">
        <f>HYPERLINK("https://pbs.twimg.com/profile_images/1051039820573753344/MjzFrzGf.jpg","View")</f>
        <v>View</v>
      </c>
    </row>
    <row r="117" spans="1:21" ht="40.799999999999997">
      <c r="A117" s="6">
        <v>43442.468206018515</v>
      </c>
      <c r="B117" s="7" t="str">
        <f>HYPERLINK("https://twitter.com/hortencarmen1","@hortencarmen1")</f>
        <v>@hortencarmen1</v>
      </c>
      <c r="C117" s="8" t="s">
        <v>635</v>
      </c>
      <c r="D117" s="9" t="s">
        <v>636</v>
      </c>
      <c r="E117" s="10" t="str">
        <f>HYPERLINK("https://twitter.com/hortencarmen1/status/1071347206635032576","1071347206635032576")</f>
        <v>1071347206635032576</v>
      </c>
      <c r="F117" s="13" t="s">
        <v>47</v>
      </c>
      <c r="G117" s="11"/>
      <c r="H117" s="11"/>
      <c r="I117" s="14">
        <v>0</v>
      </c>
      <c r="J117" s="14">
        <v>0</v>
      </c>
      <c r="K117" s="15" t="str">
        <f>HYPERLINK("http://twitter.com/download/android","Twitter for Android")</f>
        <v>Twitter for Android</v>
      </c>
      <c r="L117" s="14">
        <v>564</v>
      </c>
      <c r="M117" s="14">
        <v>702</v>
      </c>
      <c r="N117" s="14">
        <v>17</v>
      </c>
      <c r="O117" s="16"/>
      <c r="P117" s="6">
        <v>41285.055648148147</v>
      </c>
      <c r="Q117" s="11"/>
      <c r="R117" s="17" t="s">
        <v>639</v>
      </c>
      <c r="S117" s="11"/>
      <c r="T117" s="11"/>
      <c r="U117" s="10" t="str">
        <f>HYPERLINK("https://pbs.twimg.com/profile_images/1069679756961042433/Hl4q16oD.jpg","View")</f>
        <v>View</v>
      </c>
    </row>
    <row r="118" spans="1:21" ht="40.799999999999997">
      <c r="A118" s="6">
        <v>43442.467013888891</v>
      </c>
      <c r="B118" s="7" t="str">
        <f>HYPERLINK("https://twitter.com/sergchesan","@sergchesan")</f>
        <v>@sergchesan</v>
      </c>
      <c r="C118" s="8" t="s">
        <v>641</v>
      </c>
      <c r="D118" s="9" t="s">
        <v>642</v>
      </c>
      <c r="E118" s="10" t="str">
        <f>HYPERLINK("https://twitter.com/sergchesan/status/1071346775020224512","1071346775020224512")</f>
        <v>1071346775020224512</v>
      </c>
      <c r="F118" s="11"/>
      <c r="G118" s="11"/>
      <c r="H118" s="11"/>
      <c r="I118" s="14">
        <v>4</v>
      </c>
      <c r="J118" s="14">
        <v>17</v>
      </c>
      <c r="K118" s="15" t="str">
        <f>HYPERLINK("http://twitter.com","Twitter Web Client")</f>
        <v>Twitter Web Client</v>
      </c>
      <c r="L118" s="14">
        <v>1468</v>
      </c>
      <c r="M118" s="14">
        <v>1193</v>
      </c>
      <c r="N118" s="14">
        <v>6</v>
      </c>
      <c r="O118" s="16"/>
      <c r="P118" s="6">
        <v>42596.522604166668</v>
      </c>
      <c r="Q118" s="12" t="s">
        <v>643</v>
      </c>
      <c r="R118" s="17" t="s">
        <v>644</v>
      </c>
      <c r="S118" s="13" t="s">
        <v>645</v>
      </c>
      <c r="T118" s="11"/>
      <c r="U118" s="10" t="str">
        <f>HYPERLINK("https://pbs.twimg.com/profile_images/998548592414441472/uZmqxTzM.jpg","View")</f>
        <v>View</v>
      </c>
    </row>
    <row r="119" spans="1:21" ht="40.799999999999997">
      <c r="A119" s="6">
        <v>43442.465810185182</v>
      </c>
      <c r="B119" s="7" t="str">
        <f>HYPERLINK("https://twitter.com/hortencarmen1","@hortencarmen1")</f>
        <v>@hortencarmen1</v>
      </c>
      <c r="C119" s="8" t="s">
        <v>635</v>
      </c>
      <c r="D119" s="9" t="s">
        <v>648</v>
      </c>
      <c r="E119" s="10" t="str">
        <f>HYPERLINK("https://twitter.com/hortencarmen1/status/1071346340158935040","1071346340158935040")</f>
        <v>1071346340158935040</v>
      </c>
      <c r="F119" s="13" t="s">
        <v>47</v>
      </c>
      <c r="G119" s="11"/>
      <c r="H119" s="11"/>
      <c r="I119" s="14">
        <v>0</v>
      </c>
      <c r="J119" s="14">
        <v>0</v>
      </c>
      <c r="K119" s="15" t="str">
        <f>HYPERLINK("http://twitter.com/download/android","Twitter for Android")</f>
        <v>Twitter for Android</v>
      </c>
      <c r="L119" s="14">
        <v>564</v>
      </c>
      <c r="M119" s="14">
        <v>702</v>
      </c>
      <c r="N119" s="14">
        <v>17</v>
      </c>
      <c r="O119" s="16"/>
      <c r="P119" s="6">
        <v>41285.055648148147</v>
      </c>
      <c r="Q119" s="11"/>
      <c r="R119" s="17" t="s">
        <v>639</v>
      </c>
      <c r="S119" s="11"/>
      <c r="T119" s="11"/>
      <c r="U119" s="10" t="str">
        <f>HYPERLINK("https://pbs.twimg.com/profile_images/1069679756961042433/Hl4q16oD.jpg","View")</f>
        <v>View</v>
      </c>
    </row>
    <row r="120" spans="1:21" ht="40.799999999999997">
      <c r="A120" s="6">
        <v>43442.460312499999</v>
      </c>
      <c r="B120" s="7" t="str">
        <f>HYPERLINK("https://twitter.com/asanleo","@asanleo")</f>
        <v>@asanleo</v>
      </c>
      <c r="C120" s="8" t="s">
        <v>445</v>
      </c>
      <c r="D120" s="9" t="s">
        <v>446</v>
      </c>
      <c r="E120" s="10" t="str">
        <f>HYPERLINK("https://twitter.com/asanleo/status/1071344345847078914","1071344345847078914")</f>
        <v>1071344345847078914</v>
      </c>
      <c r="F120" s="13" t="s">
        <v>451</v>
      </c>
      <c r="G120" s="11"/>
      <c r="H120" s="11"/>
      <c r="I120" s="14">
        <v>0</v>
      </c>
      <c r="J120" s="14">
        <v>0</v>
      </c>
      <c r="K120" s="15" t="str">
        <f>HYPERLINK("http://twitter.com/download/iphone","Twitter for iPhone")</f>
        <v>Twitter for iPhone</v>
      </c>
      <c r="L120" s="14">
        <v>3517</v>
      </c>
      <c r="M120" s="14">
        <v>1697</v>
      </c>
      <c r="N120" s="14">
        <v>191</v>
      </c>
      <c r="O120" s="16"/>
      <c r="P120" s="6">
        <v>40235.434560185182</v>
      </c>
      <c r="Q120" s="11"/>
      <c r="R120" s="17" t="s">
        <v>454</v>
      </c>
      <c r="S120" s="13" t="s">
        <v>456</v>
      </c>
      <c r="T120" s="11"/>
      <c r="U120" s="10" t="str">
        <f>HYPERLINK("https://pbs.twimg.com/profile_images/378800000847619821/547e9509ecfd07cbd93f5b8cd7b7e681.jpeg","View")</f>
        <v>View</v>
      </c>
    </row>
    <row r="121" spans="1:21" ht="20.399999999999999">
      <c r="A121" s="6">
        <v>43442.454884259263</v>
      </c>
      <c r="B121" s="7" t="str">
        <f>HYPERLINK("https://twitter.com/nielonetti","@nielonetti")</f>
        <v>@nielonetti</v>
      </c>
      <c r="C121" s="8" t="s">
        <v>652</v>
      </c>
      <c r="D121" s="9" t="s">
        <v>653</v>
      </c>
      <c r="E121" s="10" t="str">
        <f>HYPERLINK("https://twitter.com/nielonetti/status/1071342380501086208","1071342380501086208")</f>
        <v>1071342380501086208</v>
      </c>
      <c r="F121" s="11"/>
      <c r="G121" s="11"/>
      <c r="H121" s="11"/>
      <c r="I121" s="14">
        <v>0</v>
      </c>
      <c r="J121" s="14">
        <v>0</v>
      </c>
      <c r="K121" s="15" t="str">
        <f>HYPERLINK("http://twitter.com/download/android","Twitter for Android")</f>
        <v>Twitter for Android</v>
      </c>
      <c r="L121" s="14">
        <v>119</v>
      </c>
      <c r="M121" s="14">
        <v>84</v>
      </c>
      <c r="N121" s="14">
        <v>1</v>
      </c>
      <c r="O121" s="16"/>
      <c r="P121" s="6">
        <v>43364.590069444443</v>
      </c>
      <c r="Q121" s="12" t="s">
        <v>167</v>
      </c>
      <c r="R121" s="17" t="s">
        <v>654</v>
      </c>
      <c r="S121" s="11"/>
      <c r="T121" s="11"/>
      <c r="U121" s="10" t="str">
        <f>HYPERLINK("https://pbs.twimg.com/profile_images/1043110900100751360/PDyFlU0y.jpg","View")</f>
        <v>View</v>
      </c>
    </row>
    <row r="122" spans="1:21" ht="30.6">
      <c r="A122" s="6">
        <v>43442.449652777781</v>
      </c>
      <c r="B122" s="7" t="str">
        <f>HYPERLINK("https://twitter.com/ElHuffPost","@ElHuffPost")</f>
        <v>@ElHuffPost</v>
      </c>
      <c r="C122" s="8" t="s">
        <v>114</v>
      </c>
      <c r="D122" s="9" t="s">
        <v>460</v>
      </c>
      <c r="E122" s="10" t="str">
        <f>HYPERLINK("https://twitter.com/ElHuffPost/status/1071340481760690177","1071340481760690177")</f>
        <v>1071340481760690177</v>
      </c>
      <c r="F122" s="13" t="s">
        <v>463</v>
      </c>
      <c r="G122" s="11"/>
      <c r="H122" s="11"/>
      <c r="I122" s="14">
        <v>2</v>
      </c>
      <c r="J122" s="14">
        <v>3</v>
      </c>
      <c r="K122" s="15" t="str">
        <f>HYPERLINK("http://twitter.com/download/iphone","Twitter for iPhone")</f>
        <v>Twitter for iPhone</v>
      </c>
      <c r="L122" s="14">
        <v>431182</v>
      </c>
      <c r="M122" s="14">
        <v>1551</v>
      </c>
      <c r="N122" s="14">
        <v>8205</v>
      </c>
      <c r="O122" s="19" t="s">
        <v>42</v>
      </c>
      <c r="P122" s="6">
        <v>40785.027118055557</v>
      </c>
      <c r="Q122" s="12" t="s">
        <v>119</v>
      </c>
      <c r="R122" s="17" t="s">
        <v>120</v>
      </c>
      <c r="S122" s="13" t="s">
        <v>121</v>
      </c>
      <c r="T122" s="11"/>
      <c r="U122" s="10" t="str">
        <f>HYPERLINK("https://pbs.twimg.com/profile_images/921140803422089217/ETOEUOAx.jpg","View")</f>
        <v>View</v>
      </c>
    </row>
    <row r="123" spans="1:21" ht="71.400000000000006">
      <c r="A123" s="6">
        <v>43442.448009259257</v>
      </c>
      <c r="B123" s="7" t="str">
        <f>HYPERLINK("https://twitter.com/0Realista3","@0Realista3")</f>
        <v>@0Realista3</v>
      </c>
      <c r="C123" s="8" t="s">
        <v>469</v>
      </c>
      <c r="D123" s="9" t="s">
        <v>470</v>
      </c>
      <c r="E123" s="10" t="str">
        <f>HYPERLINK("https://twitter.com/0Realista3/status/1071339886412787713","1071339886412787713")</f>
        <v>1071339886412787713</v>
      </c>
      <c r="F123" s="13" t="s">
        <v>473</v>
      </c>
      <c r="G123" s="11"/>
      <c r="H123" s="11"/>
      <c r="I123" s="14">
        <v>0</v>
      </c>
      <c r="J123" s="14">
        <v>0</v>
      </c>
      <c r="K123" s="15" t="str">
        <f>HYPERLINK("http://twitter.com/download/android","Twitter for Android")</f>
        <v>Twitter for Android</v>
      </c>
      <c r="L123" s="14">
        <v>142</v>
      </c>
      <c r="M123" s="14">
        <v>183</v>
      </c>
      <c r="N123" s="14">
        <v>4</v>
      </c>
      <c r="O123" s="16"/>
      <c r="P123" s="6">
        <v>43321.979270833333</v>
      </c>
      <c r="Q123" s="11"/>
      <c r="R123" s="18"/>
      <c r="S123" s="11"/>
      <c r="T123" s="11"/>
      <c r="U123" s="10" t="str">
        <f>HYPERLINK("https://pbs.twimg.com/profile_images/1027818317438959617/4exm99jw.jpg","View")</f>
        <v>View</v>
      </c>
    </row>
    <row r="124" spans="1:21" ht="40.799999999999997">
      <c r="A124" s="6">
        <v>43442.445648148147</v>
      </c>
      <c r="B124" s="7" t="str">
        <f>HYPERLINK("https://twitter.com/FAM63","@FAM63")</f>
        <v>@FAM63</v>
      </c>
      <c r="C124" s="8" t="s">
        <v>658</v>
      </c>
      <c r="D124" s="9" t="s">
        <v>659</v>
      </c>
      <c r="E124" s="10" t="str">
        <f>HYPERLINK("https://twitter.com/FAM63/status/1071339033060618240","1071339033060618240")</f>
        <v>1071339033060618240</v>
      </c>
      <c r="F124" s="12" t="s">
        <v>660</v>
      </c>
      <c r="G124" s="11"/>
      <c r="H124" s="11"/>
      <c r="I124" s="14">
        <v>2</v>
      </c>
      <c r="J124" s="14">
        <v>3</v>
      </c>
      <c r="K124" s="15" t="str">
        <f>HYPERLINK("http://twitter.com","Twitter Web Client")</f>
        <v>Twitter Web Client</v>
      </c>
      <c r="L124" s="14">
        <v>4530</v>
      </c>
      <c r="M124" s="14">
        <v>2852</v>
      </c>
      <c r="N124" s="14">
        <v>33</v>
      </c>
      <c r="O124" s="16"/>
      <c r="P124" s="6">
        <v>40274.689606481479</v>
      </c>
      <c r="Q124" s="12" t="s">
        <v>137</v>
      </c>
      <c r="R124" s="17" t="s">
        <v>661</v>
      </c>
      <c r="S124" s="13" t="s">
        <v>662</v>
      </c>
      <c r="T124" s="11"/>
      <c r="U124" s="10" t="str">
        <f>HYPERLINK("https://pbs.twimg.com/profile_images/943930876743880704/pkZEUpgL.jpg","View")</f>
        <v>View</v>
      </c>
    </row>
    <row r="125" spans="1:21" ht="40.799999999999997">
      <c r="A125" s="6">
        <v>43442.444895833338</v>
      </c>
      <c r="B125" s="7" t="str">
        <f>HYPERLINK("https://twitter.com/liber_fran","@liber_fran")</f>
        <v>@liber_fran</v>
      </c>
      <c r="C125" s="8" t="s">
        <v>663</v>
      </c>
      <c r="D125" s="9" t="s">
        <v>664</v>
      </c>
      <c r="E125" s="10" t="str">
        <f>HYPERLINK("https://twitter.com/liber_fran/status/1071338761785622528","1071338761785622528")</f>
        <v>1071338761785622528</v>
      </c>
      <c r="F125" s="13" t="s">
        <v>665</v>
      </c>
      <c r="G125" s="11"/>
      <c r="H125" s="11"/>
      <c r="I125" s="14">
        <v>0</v>
      </c>
      <c r="J125" s="14">
        <v>1</v>
      </c>
      <c r="K125" s="15" t="str">
        <f>HYPERLINK("http://twitter.com/download/iphone","Twitter for iPhone")</f>
        <v>Twitter for iPhone</v>
      </c>
      <c r="L125" s="14">
        <v>942</v>
      </c>
      <c r="M125" s="14">
        <v>2355</v>
      </c>
      <c r="N125" s="14">
        <v>21</v>
      </c>
      <c r="O125" s="16"/>
      <c r="P125" s="6">
        <v>41284.84480324074</v>
      </c>
      <c r="Q125" s="12" t="s">
        <v>60</v>
      </c>
      <c r="R125" s="17" t="s">
        <v>666</v>
      </c>
      <c r="S125" s="13" t="s">
        <v>667</v>
      </c>
      <c r="T125" s="11"/>
      <c r="U125" s="10" t="str">
        <f>HYPERLINK("https://pbs.twimg.com/profile_images/1040577883201314816/6Ih828bV.jpg","View")</f>
        <v>View</v>
      </c>
    </row>
    <row r="126" spans="1:21" ht="51">
      <c r="A126" s="6">
        <v>43442.442395833335</v>
      </c>
      <c r="B126" s="7" t="str">
        <f>HYPERLINK("https://twitter.com/kassov","@kassov")</f>
        <v>@kassov</v>
      </c>
      <c r="C126" s="8" t="s">
        <v>480</v>
      </c>
      <c r="D126" s="9" t="s">
        <v>481</v>
      </c>
      <c r="E126" s="10" t="str">
        <f>HYPERLINK("https://twitter.com/kassov/status/1071337854851260417","1071337854851260417")</f>
        <v>1071337854851260417</v>
      </c>
      <c r="F126" s="11"/>
      <c r="G126" s="11"/>
      <c r="H126" s="11"/>
      <c r="I126" s="14">
        <v>2</v>
      </c>
      <c r="J126" s="14">
        <v>1</v>
      </c>
      <c r="K126" s="15" t="str">
        <f>HYPERLINK("http://twitter.com/download/android","Twitter for Android")</f>
        <v>Twitter for Android</v>
      </c>
      <c r="L126" s="14">
        <v>520</v>
      </c>
      <c r="M126" s="14">
        <v>145</v>
      </c>
      <c r="N126" s="14">
        <v>23</v>
      </c>
      <c r="O126" s="16"/>
      <c r="P126" s="6">
        <v>40578.674479166664</v>
      </c>
      <c r="Q126" s="12" t="s">
        <v>482</v>
      </c>
      <c r="R126" s="17" t="s">
        <v>483</v>
      </c>
      <c r="S126" s="11"/>
      <c r="T126" s="11"/>
      <c r="U126" s="10" t="str">
        <f>HYPERLINK("https://pbs.twimg.com/profile_images/927315911245041665/Ft76-mO2.jpg","View")</f>
        <v>View</v>
      </c>
    </row>
    <row r="127" spans="1:21" ht="30.6">
      <c r="A127" s="6">
        <v>43442.439583333333</v>
      </c>
      <c r="B127" s="7" t="str">
        <f>HYPERLINK("https://twitter.com/ElHuffPost","@ElHuffPost")</f>
        <v>@ElHuffPost</v>
      </c>
      <c r="C127" s="8" t="s">
        <v>114</v>
      </c>
      <c r="D127" s="9" t="s">
        <v>115</v>
      </c>
      <c r="E127" s="10" t="str">
        <f>HYPERLINK("https://twitter.com/ElHuffPost/status/1071336833936551936","1071336833936551936")</f>
        <v>1071336833936551936</v>
      </c>
      <c r="F127" s="13" t="s">
        <v>116</v>
      </c>
      <c r="G127" s="11"/>
      <c r="H127" s="11"/>
      <c r="I127" s="14">
        <v>0</v>
      </c>
      <c r="J127" s="14">
        <v>1</v>
      </c>
      <c r="K127" s="15" t="str">
        <f>HYPERLINK("https://about.twitter.com/products/tweetdeck","TweetDeck")</f>
        <v>TweetDeck</v>
      </c>
      <c r="L127" s="14">
        <v>431182</v>
      </c>
      <c r="M127" s="14">
        <v>1551</v>
      </c>
      <c r="N127" s="14">
        <v>8205</v>
      </c>
      <c r="O127" s="19" t="s">
        <v>42</v>
      </c>
      <c r="P127" s="6">
        <v>40785.027118055557</v>
      </c>
      <c r="Q127" s="12" t="s">
        <v>119</v>
      </c>
      <c r="R127" s="17" t="s">
        <v>120</v>
      </c>
      <c r="S127" s="13" t="s">
        <v>121</v>
      </c>
      <c r="T127" s="11"/>
      <c r="U127" s="10" t="str">
        <f>HYPERLINK("https://pbs.twimg.com/profile_images/921140803422089217/ETOEUOAx.jpg","View")</f>
        <v>View</v>
      </c>
    </row>
    <row r="128" spans="1:21" ht="40.799999999999997">
      <c r="A128" s="6">
        <v>43442.439444444448</v>
      </c>
      <c r="B128" s="7" t="str">
        <f>HYPERLINK("https://twitter.com/Rogerdaflor","@Rogerdaflor")</f>
        <v>@Rogerdaflor</v>
      </c>
      <c r="C128" s="8" t="s">
        <v>670</v>
      </c>
      <c r="D128" s="9" t="s">
        <v>671</v>
      </c>
      <c r="E128" s="10" t="str">
        <f>HYPERLINK("https://twitter.com/Rogerdaflor/status/1071336785484148738","1071336785484148738")</f>
        <v>1071336785484148738</v>
      </c>
      <c r="F128" s="13" t="s">
        <v>674</v>
      </c>
      <c r="G128" s="11"/>
      <c r="H128" s="11"/>
      <c r="I128" s="14">
        <v>0</v>
      </c>
      <c r="J128" s="14">
        <v>0</v>
      </c>
      <c r="K128" s="15" t="str">
        <f t="shared" ref="K128:K129" si="21">HYPERLINK("http://twitter.com","Twitter Web Client")</f>
        <v>Twitter Web Client</v>
      </c>
      <c r="L128" s="14">
        <v>244</v>
      </c>
      <c r="M128" s="14">
        <v>1569</v>
      </c>
      <c r="N128" s="14">
        <v>0</v>
      </c>
      <c r="O128" s="16"/>
      <c r="P128" s="6">
        <v>40336.615162037036</v>
      </c>
      <c r="Q128" s="11"/>
      <c r="R128" s="17" t="s">
        <v>677</v>
      </c>
      <c r="S128" s="11"/>
      <c r="T128" s="11"/>
      <c r="U128" s="10" t="str">
        <f>HYPERLINK("https://pbs.twimg.com/profile_images/969514380256825344/Xuv1iYyw.jpg","View")</f>
        <v>View</v>
      </c>
    </row>
    <row r="129" spans="1:21" ht="40.799999999999997">
      <c r="A129" s="6">
        <v>43442.437349537038</v>
      </c>
      <c r="B129" s="7" t="str">
        <f>HYPERLINK("https://twitter.com/Mario_cjMadrid","@Mario_cjMadrid")</f>
        <v>@Mario_cjMadrid</v>
      </c>
      <c r="C129" s="8" t="s">
        <v>680</v>
      </c>
      <c r="D129" s="9" t="s">
        <v>681</v>
      </c>
      <c r="E129" s="10" t="str">
        <f>HYPERLINK("https://twitter.com/Mario_cjMadrid/status/1071336026872922112","1071336026872922112")</f>
        <v>1071336026872922112</v>
      </c>
      <c r="F129" s="13" t="s">
        <v>412</v>
      </c>
      <c r="G129" s="11"/>
      <c r="H129" s="11"/>
      <c r="I129" s="14">
        <v>0</v>
      </c>
      <c r="J129" s="14">
        <v>0</v>
      </c>
      <c r="K129" s="15" t="str">
        <f t="shared" si="21"/>
        <v>Twitter Web Client</v>
      </c>
      <c r="L129" s="14">
        <v>4620</v>
      </c>
      <c r="M129" s="14">
        <v>3804</v>
      </c>
      <c r="N129" s="14">
        <v>67</v>
      </c>
      <c r="O129" s="16"/>
      <c r="P129" s="6">
        <v>41368.661562499998</v>
      </c>
      <c r="Q129" s="11"/>
      <c r="R129" s="17" t="s">
        <v>684</v>
      </c>
      <c r="S129" s="13" t="s">
        <v>685</v>
      </c>
      <c r="T129" s="11"/>
      <c r="U129" s="10" t="str">
        <f>HYPERLINK("https://pbs.twimg.com/profile_images/378800000171844685/73cdb2726322275429577f87e633f8cc.jpeg","View")</f>
        <v>View</v>
      </c>
    </row>
    <row r="130" spans="1:21" ht="51">
      <c r="A130" s="6">
        <v>43442.437326388885</v>
      </c>
      <c r="B130" s="7" t="str">
        <f>HYPERLINK("https://twitter.com/AmaliaBlanco2","@AmaliaBlanco2")</f>
        <v>@AmaliaBlanco2</v>
      </c>
      <c r="C130" s="8" t="s">
        <v>689</v>
      </c>
      <c r="D130" s="9" t="s">
        <v>690</v>
      </c>
      <c r="E130" s="10" t="str">
        <f>HYPERLINK("https://twitter.com/AmaliaBlanco2/status/1071336018404614149","1071336018404614149")</f>
        <v>1071336018404614149</v>
      </c>
      <c r="F130" s="13" t="s">
        <v>101</v>
      </c>
      <c r="G130" s="11"/>
      <c r="H130" s="11"/>
      <c r="I130" s="14">
        <v>0</v>
      </c>
      <c r="J130" s="14">
        <v>0</v>
      </c>
      <c r="K130" s="15" t="str">
        <f>HYPERLINK("http://twitter.com/#!/download/ipad","Twitter for iPad")</f>
        <v>Twitter for iPad</v>
      </c>
      <c r="L130" s="14">
        <v>6933</v>
      </c>
      <c r="M130" s="14">
        <v>2841</v>
      </c>
      <c r="N130" s="14">
        <v>128</v>
      </c>
      <c r="O130" s="19" t="s">
        <v>42</v>
      </c>
      <c r="P130" s="6">
        <v>40886.774606481486</v>
      </c>
      <c r="Q130" s="12" t="s">
        <v>691</v>
      </c>
      <c r="R130" s="17" t="s">
        <v>692</v>
      </c>
      <c r="S130" s="11"/>
      <c r="T130" s="11"/>
      <c r="U130" s="10" t="str">
        <f>HYPERLINK("https://pbs.twimg.com/profile_images/992390622240702464/Aje_Sn8k.jpg","View")</f>
        <v>View</v>
      </c>
    </row>
    <row r="131" spans="1:21" ht="40.799999999999997">
      <c r="A131" s="6">
        <v>43442.434918981482</v>
      </c>
      <c r="B131" s="7" t="str">
        <f>HYPERLINK("https://twitter.com/patarrocas","@patarrocas")</f>
        <v>@patarrocas</v>
      </c>
      <c r="C131" s="8" t="s">
        <v>695</v>
      </c>
      <c r="D131" s="9" t="s">
        <v>696</v>
      </c>
      <c r="E131" s="10" t="str">
        <f>HYPERLINK("https://twitter.com/patarrocas/status/1071335143909019650","1071335143909019650")</f>
        <v>1071335143909019650</v>
      </c>
      <c r="F131" s="13" t="s">
        <v>47</v>
      </c>
      <c r="G131" s="13" t="s">
        <v>697</v>
      </c>
      <c r="H131" s="11"/>
      <c r="I131" s="14">
        <v>0</v>
      </c>
      <c r="J131" s="14">
        <v>0</v>
      </c>
      <c r="K131" s="15" t="str">
        <f t="shared" ref="K131:K132" si="22">HYPERLINK("http://twitter.com/download/android","Twitter for Android")</f>
        <v>Twitter for Android</v>
      </c>
      <c r="L131" s="14">
        <v>1157</v>
      </c>
      <c r="M131" s="14">
        <v>1429</v>
      </c>
      <c r="N131" s="14">
        <v>70</v>
      </c>
      <c r="O131" s="16"/>
      <c r="P131" s="6">
        <v>41158.551550925928</v>
      </c>
      <c r="Q131" s="11"/>
      <c r="R131" s="17" t="s">
        <v>700</v>
      </c>
      <c r="S131" s="11"/>
      <c r="T131" s="11"/>
      <c r="U131" s="10" t="str">
        <f>HYPERLINK("https://pbs.twimg.com/profile_images/3307093406/c4ca3e67b6f9d29d6b9ceb489724546b.jpeg","View")</f>
        <v>View</v>
      </c>
    </row>
    <row r="132" spans="1:21" ht="40.799999999999997">
      <c r="A132" s="6">
        <v>43442.433287037042</v>
      </c>
      <c r="B132" s="7" t="str">
        <f>HYPERLINK("https://twitter.com/JUAN_JARA_ESP","@JUAN_JARA_ESP")</f>
        <v>@JUAN_JARA_ESP</v>
      </c>
      <c r="C132" s="8" t="s">
        <v>484</v>
      </c>
      <c r="D132" s="9" t="s">
        <v>485</v>
      </c>
      <c r="E132" s="10" t="str">
        <f>HYPERLINK("https://twitter.com/JUAN_JARA_ESP/status/1071334554819006464","1071334554819006464")</f>
        <v>1071334554819006464</v>
      </c>
      <c r="F132" s="13" t="s">
        <v>486</v>
      </c>
      <c r="G132" s="11"/>
      <c r="H132" s="11"/>
      <c r="I132" s="14">
        <v>3</v>
      </c>
      <c r="J132" s="14">
        <v>2</v>
      </c>
      <c r="K132" s="15" t="str">
        <f t="shared" si="22"/>
        <v>Twitter for Android</v>
      </c>
      <c r="L132" s="14">
        <v>2944</v>
      </c>
      <c r="M132" s="14">
        <v>4512</v>
      </c>
      <c r="N132" s="14">
        <v>0</v>
      </c>
      <c r="O132" s="16"/>
      <c r="P132" s="6">
        <v>42077.540868055556</v>
      </c>
      <c r="Q132" s="12" t="s">
        <v>487</v>
      </c>
      <c r="R132" s="17" t="s">
        <v>488</v>
      </c>
      <c r="S132" s="11"/>
      <c r="T132" s="11"/>
      <c r="U132" s="10" t="str">
        <f>HYPERLINK("https://pbs.twimg.com/profile_images/1066335092430262273/SHgLBrK-.jpg","View")</f>
        <v>View</v>
      </c>
    </row>
    <row r="133" spans="1:21" ht="51">
      <c r="A133" s="6">
        <v>43442.429479166662</v>
      </c>
      <c r="B133" s="7" t="str">
        <f>HYPERLINK("https://twitter.com/CiudadanosCs","@CiudadanosCs")</f>
        <v>@CiudadanosCs</v>
      </c>
      <c r="C133" s="8" t="s">
        <v>489</v>
      </c>
      <c r="D133" s="9" t="s">
        <v>490</v>
      </c>
      <c r="E133" s="10" t="str">
        <f>HYPERLINK("https://twitter.com/CiudadanosCs/status/1071333171583684608","1071333171583684608")</f>
        <v>1071333171583684608</v>
      </c>
      <c r="F133" s="11"/>
      <c r="G133" s="13" t="s">
        <v>491</v>
      </c>
      <c r="H133" s="11"/>
      <c r="I133" s="14">
        <v>104</v>
      </c>
      <c r="J133" s="14">
        <v>156</v>
      </c>
      <c r="K133" s="15" t="str">
        <f>HYPERLINK("https://studio.twitter.com","Twitter Media Studio")</f>
        <v>Twitter Media Studio</v>
      </c>
      <c r="L133" s="14">
        <v>490821</v>
      </c>
      <c r="M133" s="14">
        <v>93557</v>
      </c>
      <c r="N133" s="14">
        <v>3338</v>
      </c>
      <c r="O133" s="19" t="s">
        <v>42</v>
      </c>
      <c r="P133" s="6">
        <v>39828.753460648149</v>
      </c>
      <c r="Q133" s="12" t="s">
        <v>137</v>
      </c>
      <c r="R133" s="17" t="s">
        <v>492</v>
      </c>
      <c r="S133" s="13" t="s">
        <v>493</v>
      </c>
      <c r="T133" s="11"/>
      <c r="U133" s="10" t="str">
        <f>HYPERLINK("https://pbs.twimg.com/profile_images/1053554096161075200/1z77_zBZ.jpg","View")</f>
        <v>View</v>
      </c>
    </row>
    <row r="134" spans="1:21" ht="40.799999999999997">
      <c r="A134" s="6">
        <v>43442.427939814814</v>
      </c>
      <c r="B134" s="7" t="str">
        <f>HYPERLINK("https://twitter.com/ecd_","@ecd_")</f>
        <v>@ecd_</v>
      </c>
      <c r="C134" s="8" t="s">
        <v>707</v>
      </c>
      <c r="D134" s="9" t="s">
        <v>708</v>
      </c>
      <c r="E134" s="10" t="str">
        <f>HYPERLINK("https://twitter.com/ecd_/status/1071332614974435328","1071332614974435328")</f>
        <v>1071332614974435328</v>
      </c>
      <c r="F134" s="13" t="s">
        <v>709</v>
      </c>
      <c r="G134" s="11"/>
      <c r="H134" s="11"/>
      <c r="I134" s="14">
        <v>0</v>
      </c>
      <c r="J134" s="14">
        <v>0</v>
      </c>
      <c r="K134" s="15" t="str">
        <f>HYPERLINK("http://dogtrack.es","DogTrack_Oficial")</f>
        <v>DogTrack_Oficial</v>
      </c>
      <c r="L134" s="14">
        <v>88447</v>
      </c>
      <c r="M134" s="14">
        <v>364</v>
      </c>
      <c r="N134" s="14">
        <v>2650</v>
      </c>
      <c r="O134" s="16"/>
      <c r="P134" s="6">
        <v>39931.730115740742</v>
      </c>
      <c r="Q134" s="26" t="s">
        <v>710</v>
      </c>
      <c r="R134" s="17" t="s">
        <v>714</v>
      </c>
      <c r="S134" s="13" t="s">
        <v>715</v>
      </c>
      <c r="T134" s="11"/>
      <c r="U134" s="10" t="str">
        <f>HYPERLINK("https://pbs.twimg.com/profile_images/720595850238554113/Y8DGFyzZ.jpg","View")</f>
        <v>View</v>
      </c>
    </row>
    <row r="135" spans="1:21" ht="40.799999999999997">
      <c r="A135" s="6">
        <v>43442.427476851852</v>
      </c>
      <c r="B135" s="7" t="str">
        <f>HYPERLINK("https://twitter.com/franciscorubira","@franciscorubira")</f>
        <v>@franciscorubira</v>
      </c>
      <c r="C135" s="8" t="s">
        <v>718</v>
      </c>
      <c r="D135" s="9" t="s">
        <v>708</v>
      </c>
      <c r="E135" s="10" t="str">
        <f>HYPERLINK("https://twitter.com/franciscorubira/status/1071332448678494208","1071332448678494208")</f>
        <v>1071332448678494208</v>
      </c>
      <c r="F135" s="13" t="s">
        <v>719</v>
      </c>
      <c r="G135" s="13" t="s">
        <v>720</v>
      </c>
      <c r="H135" s="11"/>
      <c r="I135" s="14">
        <v>0</v>
      </c>
      <c r="J135" s="14">
        <v>0</v>
      </c>
      <c r="K135" s="15" t="str">
        <f>HYPERLINK("https://dlvrit.com/","dlvr.it")</f>
        <v>dlvr.it</v>
      </c>
      <c r="L135" s="14">
        <v>2436</v>
      </c>
      <c r="M135" s="14">
        <v>466</v>
      </c>
      <c r="N135" s="14">
        <v>43</v>
      </c>
      <c r="O135" s="16"/>
      <c r="P135" s="6">
        <v>39871.859317129631</v>
      </c>
      <c r="Q135" s="12" t="s">
        <v>119</v>
      </c>
      <c r="R135" s="17" t="s">
        <v>721</v>
      </c>
      <c r="S135" s="13" t="s">
        <v>722</v>
      </c>
      <c r="T135" s="11"/>
      <c r="U135" s="10" t="str">
        <f>HYPERLINK("https://pbs.twimg.com/profile_images/3347587725/a033bb22fbb57ca30cfe28855cc75a4a.jpeg","View")</f>
        <v>View</v>
      </c>
    </row>
    <row r="136" spans="1:21" ht="51">
      <c r="A136" s="6">
        <v>43442.427233796298</v>
      </c>
      <c r="B136" s="7" t="str">
        <f>HYPERLINK("https://twitter.com/Alnikam","@Alnikam")</f>
        <v>@Alnikam</v>
      </c>
      <c r="C136" s="8" t="s">
        <v>724</v>
      </c>
      <c r="D136" s="9" t="s">
        <v>725</v>
      </c>
      <c r="E136" s="10" t="str">
        <f>HYPERLINK("https://twitter.com/Alnikam/status/1071332357234442240","1071332357234442240")</f>
        <v>1071332357234442240</v>
      </c>
      <c r="F136" s="13" t="s">
        <v>101</v>
      </c>
      <c r="G136" s="11"/>
      <c r="H136" s="11"/>
      <c r="I136" s="14">
        <v>0</v>
      </c>
      <c r="J136" s="14">
        <v>0</v>
      </c>
      <c r="K136" s="15" t="str">
        <f>HYPERLINK("http://twitter.com/#!/download/ipad","Twitter for iPad")</f>
        <v>Twitter for iPad</v>
      </c>
      <c r="L136" s="14">
        <v>69</v>
      </c>
      <c r="M136" s="14">
        <v>490</v>
      </c>
      <c r="N136" s="14">
        <v>5</v>
      </c>
      <c r="O136" s="16"/>
      <c r="P136" s="6">
        <v>41149.392962962964</v>
      </c>
      <c r="Q136" s="11"/>
      <c r="R136" s="17" t="s">
        <v>727</v>
      </c>
      <c r="S136" s="11"/>
      <c r="T136" s="11"/>
      <c r="U136" s="10" t="str">
        <f>HYPERLINK("https://pbs.twimg.com/profile_images/814526920964657152/8v9NTUBS.jpg","View")</f>
        <v>View</v>
      </c>
    </row>
    <row r="137" spans="1:21" ht="20.399999999999999">
      <c r="A137" s="6">
        <v>43442.426550925928</v>
      </c>
      <c r="B137" s="7" t="str">
        <f>HYPERLINK("https://twitter.com/Carlotilla2","@Carlotilla2")</f>
        <v>@Carlotilla2</v>
      </c>
      <c r="C137" s="8" t="s">
        <v>728</v>
      </c>
      <c r="D137" s="9" t="s">
        <v>729</v>
      </c>
      <c r="E137" s="10" t="str">
        <f>HYPERLINK("https://twitter.com/Carlotilla2/status/1071332112274468864","1071332112274468864")</f>
        <v>1071332112274468864</v>
      </c>
      <c r="F137" s="13" t="s">
        <v>101</v>
      </c>
      <c r="G137" s="11"/>
      <c r="H137" s="11"/>
      <c r="I137" s="14">
        <v>0</v>
      </c>
      <c r="J137" s="14">
        <v>1</v>
      </c>
      <c r="K137" s="15" t="str">
        <f>HYPERLINK("http://twitter.com/download/android","Twitter for Android")</f>
        <v>Twitter for Android</v>
      </c>
      <c r="L137" s="14">
        <v>2122</v>
      </c>
      <c r="M137" s="14">
        <v>804</v>
      </c>
      <c r="N137" s="14">
        <v>100</v>
      </c>
      <c r="O137" s="16"/>
      <c r="P137" s="6">
        <v>40672.813067129631</v>
      </c>
      <c r="Q137" s="12" t="s">
        <v>477</v>
      </c>
      <c r="R137" s="17" t="s">
        <v>730</v>
      </c>
      <c r="S137" s="11"/>
      <c r="T137" s="11"/>
      <c r="U137" s="10" t="str">
        <f>HYPERLINK("https://pbs.twimg.com/profile_images/1010956275872681987/VJYeyBzC.jpg","View")</f>
        <v>View</v>
      </c>
    </row>
    <row r="138" spans="1:21" ht="40.799999999999997">
      <c r="A138" s="6">
        <v>43442.422256944439</v>
      </c>
      <c r="B138" s="7" t="str">
        <f>HYPERLINK("https://twitter.com/franciscorubira","@franciscorubira")</f>
        <v>@franciscorubira</v>
      </c>
      <c r="C138" s="8" t="s">
        <v>718</v>
      </c>
      <c r="D138" s="9" t="s">
        <v>91</v>
      </c>
      <c r="E138" s="10" t="str">
        <f>HYPERLINK("https://twitter.com/franciscorubira/status/1071330556602765312","1071330556602765312")</f>
        <v>1071330556602765312</v>
      </c>
      <c r="F138" s="13" t="s">
        <v>731</v>
      </c>
      <c r="G138" s="13" t="s">
        <v>732</v>
      </c>
      <c r="H138" s="11"/>
      <c r="I138" s="14">
        <v>0</v>
      </c>
      <c r="J138" s="14">
        <v>0</v>
      </c>
      <c r="K138" s="15" t="str">
        <f>HYPERLINK("https://dlvrit.com/","dlvr.it")</f>
        <v>dlvr.it</v>
      </c>
      <c r="L138" s="14">
        <v>2436</v>
      </c>
      <c r="M138" s="14">
        <v>466</v>
      </c>
      <c r="N138" s="14">
        <v>43</v>
      </c>
      <c r="O138" s="16"/>
      <c r="P138" s="6">
        <v>39871.859317129631</v>
      </c>
      <c r="Q138" s="12" t="s">
        <v>119</v>
      </c>
      <c r="R138" s="17" t="s">
        <v>721</v>
      </c>
      <c r="S138" s="13" t="s">
        <v>722</v>
      </c>
      <c r="T138" s="11"/>
      <c r="U138" s="10" t="str">
        <f>HYPERLINK("https://pbs.twimg.com/profile_images/3347587725/a033bb22fbb57ca30cfe28855cc75a4a.jpeg","View")</f>
        <v>View</v>
      </c>
    </row>
    <row r="139" spans="1:21" ht="61.2">
      <c r="A139" s="6">
        <v>43442.421851851846</v>
      </c>
      <c r="B139" s="7" t="str">
        <f>HYPERLINK("https://twitter.com/Concepc98510820","@Concepc98510820")</f>
        <v>@Concepc98510820</v>
      </c>
      <c r="C139" s="8" t="s">
        <v>494</v>
      </c>
      <c r="D139" s="9" t="s">
        <v>495</v>
      </c>
      <c r="E139" s="10" t="str">
        <f>HYPERLINK("https://twitter.com/Concepc98510820/status/1071330407839342594","1071330407839342594")</f>
        <v>1071330407839342594</v>
      </c>
      <c r="F139" s="13" t="s">
        <v>496</v>
      </c>
      <c r="G139" s="11"/>
      <c r="H139" s="11"/>
      <c r="I139" s="14">
        <v>9</v>
      </c>
      <c r="J139" s="14">
        <v>6</v>
      </c>
      <c r="K139" s="15" t="str">
        <f>HYPERLINK("http://twitter.com","Twitter Web Client")</f>
        <v>Twitter Web Client</v>
      </c>
      <c r="L139" s="14">
        <v>739</v>
      </c>
      <c r="M139" s="14">
        <v>339</v>
      </c>
      <c r="N139" s="14">
        <v>3</v>
      </c>
      <c r="O139" s="16"/>
      <c r="P139" s="6">
        <v>43000.366782407407</v>
      </c>
      <c r="Q139" s="11"/>
      <c r="R139" s="17" t="s">
        <v>504</v>
      </c>
      <c r="S139" s="11"/>
      <c r="T139" s="11"/>
      <c r="U139" s="10" t="str">
        <f>HYPERLINK("https://pbs.twimg.com/profile_images/1012999387205832704/BtuOFMFu.jpg","View")</f>
        <v>View</v>
      </c>
    </row>
    <row r="140" spans="1:21" ht="71.400000000000006">
      <c r="A140" s="6">
        <v>43442.419444444444</v>
      </c>
      <c r="B140" s="7" t="str">
        <f>HYPERLINK("https://twitter.com/ATCoco2017","@ATCoco2017")</f>
        <v>@ATCoco2017</v>
      </c>
      <c r="C140" s="8" t="s">
        <v>513</v>
      </c>
      <c r="D140" s="9" t="s">
        <v>514</v>
      </c>
      <c r="E140" s="10" t="str">
        <f>HYPERLINK("https://twitter.com/ATCoco2017/status/1071329538007805953","1071329538007805953")</f>
        <v>1071329538007805953</v>
      </c>
      <c r="F140" s="13" t="s">
        <v>517</v>
      </c>
      <c r="G140" s="13" t="s">
        <v>518</v>
      </c>
      <c r="H140" s="11"/>
      <c r="I140" s="14">
        <v>0</v>
      </c>
      <c r="J140" s="14">
        <v>1</v>
      </c>
      <c r="K140" s="15" t="str">
        <f>HYPERLINK("http://twitter.com/download/iphone","Twitter for iPhone")</f>
        <v>Twitter for iPhone</v>
      </c>
      <c r="L140" s="14">
        <v>345</v>
      </c>
      <c r="M140" s="14">
        <v>88</v>
      </c>
      <c r="N140" s="14">
        <v>4</v>
      </c>
      <c r="O140" s="16"/>
      <c r="P140" s="6">
        <v>43012.361898148149</v>
      </c>
      <c r="Q140" s="12" t="s">
        <v>521</v>
      </c>
      <c r="R140" s="18"/>
      <c r="S140" s="11"/>
      <c r="T140" s="11"/>
      <c r="U140" s="10" t="str">
        <f>HYPERLINK("https://pbs.twimg.com/profile_images/953191161405026304/WmZYMXL5.jpg","View")</f>
        <v>View</v>
      </c>
    </row>
    <row r="141" spans="1:21" ht="71.400000000000006">
      <c r="A141" s="6">
        <v>43442.418483796297</v>
      </c>
      <c r="B141" s="7" t="str">
        <f>HYPERLINK("https://twitter.com/rabasandratana","@rabasandratana")</f>
        <v>@rabasandratana</v>
      </c>
      <c r="C141" s="8" t="s">
        <v>525</v>
      </c>
      <c r="D141" s="9" t="s">
        <v>526</v>
      </c>
      <c r="E141" s="10" t="str">
        <f>HYPERLINK("https://twitter.com/rabasandratana/status/1071329186621612032","1071329186621612032")</f>
        <v>1071329186621612032</v>
      </c>
      <c r="F141" s="13" t="s">
        <v>527</v>
      </c>
      <c r="G141" s="13" t="s">
        <v>528</v>
      </c>
      <c r="H141" s="11"/>
      <c r="I141" s="14">
        <v>0</v>
      </c>
      <c r="J141" s="14">
        <v>0</v>
      </c>
      <c r="K141" s="15" t="str">
        <f>HYPERLINK("http://twitter.com/download/android","Twitter for Android")</f>
        <v>Twitter for Android</v>
      </c>
      <c r="L141" s="14">
        <v>118</v>
      </c>
      <c r="M141" s="14">
        <v>494</v>
      </c>
      <c r="N141" s="14">
        <v>2</v>
      </c>
      <c r="O141" s="16"/>
      <c r="P141" s="6">
        <v>40936.459351851852</v>
      </c>
      <c r="Q141" s="11"/>
      <c r="R141" s="18"/>
      <c r="S141" s="11"/>
      <c r="T141" s="11"/>
      <c r="U141" s="10" t="str">
        <f>HYPERLINK("https://pbs.twimg.com/profile_images/905523395760193536/6lnO1g4p.jpg","View")</f>
        <v>View</v>
      </c>
    </row>
    <row r="142" spans="1:21" ht="40.799999999999997">
      <c r="A142" s="6">
        <v>43442.415497685186</v>
      </c>
      <c r="B142" s="7" t="str">
        <f>HYPERLINK("https://twitter.com/arnaljavier","@arnaljavier")</f>
        <v>@arnaljavier</v>
      </c>
      <c r="C142" s="8" t="s">
        <v>742</v>
      </c>
      <c r="D142" s="9" t="s">
        <v>46</v>
      </c>
      <c r="E142" s="10" t="str">
        <f>HYPERLINK("https://twitter.com/arnaljavier/status/1071328107876007936","1071328107876007936")</f>
        <v>1071328107876007936</v>
      </c>
      <c r="F142" s="13" t="s">
        <v>47</v>
      </c>
      <c r="G142" s="11"/>
      <c r="H142" s="11"/>
      <c r="I142" s="14">
        <v>0</v>
      </c>
      <c r="J142" s="14">
        <v>0</v>
      </c>
      <c r="K142" s="15" t="str">
        <f>HYPERLINK("http://twitter.com","Twitter Web Client")</f>
        <v>Twitter Web Client</v>
      </c>
      <c r="L142" s="14">
        <v>396</v>
      </c>
      <c r="M142" s="14">
        <v>579</v>
      </c>
      <c r="N142" s="14">
        <v>12</v>
      </c>
      <c r="O142" s="16"/>
      <c r="P142" s="6">
        <v>40855.786296296297</v>
      </c>
      <c r="Q142" s="12" t="s">
        <v>746</v>
      </c>
      <c r="R142" s="17" t="s">
        <v>747</v>
      </c>
      <c r="S142" s="13" t="s">
        <v>748</v>
      </c>
      <c r="T142" s="11"/>
      <c r="U142" s="10" t="str">
        <f>HYPERLINK("https://pbs.twimg.com/profile_images/1631781810/Llom709.JPG","View")</f>
        <v>View</v>
      </c>
    </row>
    <row r="143" spans="1:21" ht="40.799999999999997">
      <c r="A143" s="6">
        <v>43442.415104166663</v>
      </c>
      <c r="B143" s="7" t="str">
        <f>HYPERLINK("https://twitter.com/poniplus","@poniplus")</f>
        <v>@poniplus</v>
      </c>
      <c r="C143" s="8" t="s">
        <v>539</v>
      </c>
      <c r="D143" s="9" t="s">
        <v>540</v>
      </c>
      <c r="E143" s="10" t="str">
        <f>HYPERLINK("https://twitter.com/poniplus/status/1071327962102927360","1071327962102927360")</f>
        <v>1071327962102927360</v>
      </c>
      <c r="F143" s="13" t="s">
        <v>541</v>
      </c>
      <c r="G143" s="11"/>
      <c r="H143" s="11"/>
      <c r="I143" s="14">
        <v>0</v>
      </c>
      <c r="J143" s="14">
        <v>0</v>
      </c>
      <c r="K143" s="15" t="str">
        <f>HYPERLINK("http://twitter.com/download/iphone","Twitter for iPhone")</f>
        <v>Twitter for iPhone</v>
      </c>
      <c r="L143" s="14">
        <v>67</v>
      </c>
      <c r="M143" s="14">
        <v>60</v>
      </c>
      <c r="N143" s="14">
        <v>4</v>
      </c>
      <c r="O143" s="16"/>
      <c r="P143" s="6">
        <v>40447.338761574072</v>
      </c>
      <c r="Q143" s="11"/>
      <c r="R143" s="17" t="s">
        <v>543</v>
      </c>
      <c r="S143" s="11"/>
      <c r="T143" s="11"/>
      <c r="U143" s="10" t="str">
        <f>HYPERLINK("https://pbs.twimg.com/profile_images/1048944921795809281/nNlJ86_s.jpg","View")</f>
        <v>View</v>
      </c>
    </row>
    <row r="144" spans="1:21" ht="40.799999999999997">
      <c r="A144" s="6">
        <v>43442.40788194444</v>
      </c>
      <c r="B144" s="7" t="str">
        <f>HYPERLINK("https://twitter.com/ealdrith77","@ealdrith77")</f>
        <v>@ealdrith77</v>
      </c>
      <c r="C144" s="8" t="s">
        <v>754</v>
      </c>
      <c r="D144" s="9" t="s">
        <v>755</v>
      </c>
      <c r="E144" s="10" t="str">
        <f>HYPERLINK("https://twitter.com/ealdrith77/status/1071325347101229057","1071325347101229057")</f>
        <v>1071325347101229057</v>
      </c>
      <c r="F144" s="13" t="s">
        <v>216</v>
      </c>
      <c r="G144" s="11"/>
      <c r="H144" s="11"/>
      <c r="I144" s="14">
        <v>0</v>
      </c>
      <c r="J144" s="14">
        <v>0</v>
      </c>
      <c r="K144" s="15" t="str">
        <f t="shared" ref="K144:K147" si="23">HYPERLINK("http://twitter.com/download/android","Twitter for Android")</f>
        <v>Twitter for Android</v>
      </c>
      <c r="L144" s="14">
        <v>2170</v>
      </c>
      <c r="M144" s="14">
        <v>3531</v>
      </c>
      <c r="N144" s="14">
        <v>27</v>
      </c>
      <c r="O144" s="16"/>
      <c r="P144" s="6">
        <v>40724.583356481482</v>
      </c>
      <c r="Q144" s="12" t="s">
        <v>758</v>
      </c>
      <c r="R144" s="17" t="s">
        <v>759</v>
      </c>
      <c r="S144" s="11"/>
      <c r="T144" s="11"/>
      <c r="U144" s="10" t="str">
        <f>HYPERLINK("https://pbs.twimg.com/profile_images/718102799347814405/geF28COL.jpg","View")</f>
        <v>View</v>
      </c>
    </row>
    <row r="145" spans="1:21" ht="30.6">
      <c r="A145" s="6">
        <v>43442.406296296293</v>
      </c>
      <c r="B145" s="7" t="str">
        <f>HYPERLINK("https://twitter.com/GPinar_Pena","@GPinar_Pena")</f>
        <v>@GPinar_Pena</v>
      </c>
      <c r="C145" s="8" t="s">
        <v>762</v>
      </c>
      <c r="D145" s="9" t="s">
        <v>763</v>
      </c>
      <c r="E145" s="10" t="str">
        <f>HYPERLINK("https://twitter.com/GPinar_Pena/status/1071324770615156742","1071324770615156742")</f>
        <v>1071324770615156742</v>
      </c>
      <c r="F145" s="13" t="s">
        <v>764</v>
      </c>
      <c r="G145" s="11"/>
      <c r="H145" s="11"/>
      <c r="I145" s="14">
        <v>0</v>
      </c>
      <c r="J145" s="14">
        <v>0</v>
      </c>
      <c r="K145" s="15" t="str">
        <f t="shared" si="23"/>
        <v>Twitter for Android</v>
      </c>
      <c r="L145" s="14">
        <v>878</v>
      </c>
      <c r="M145" s="14">
        <v>1177</v>
      </c>
      <c r="N145" s="14">
        <v>6</v>
      </c>
      <c r="O145" s="16"/>
      <c r="P145" s="6">
        <v>42687.487858796296</v>
      </c>
      <c r="Q145" s="12" t="s">
        <v>187</v>
      </c>
      <c r="R145" s="17" t="s">
        <v>767</v>
      </c>
      <c r="S145" s="11"/>
      <c r="T145" s="11"/>
      <c r="U145" s="10" t="str">
        <f>HYPERLINK("https://pbs.twimg.com/profile_images/1040498387131539456/R3stIC89.jpg","View")</f>
        <v>View</v>
      </c>
    </row>
    <row r="146" spans="1:21" ht="40.799999999999997">
      <c r="A146" s="6">
        <v>43442.405914351853</v>
      </c>
      <c r="B146" s="7" t="str">
        <f>HYPERLINK("https://twitter.com/JuanjoMoliGal","@JuanjoMoliGal")</f>
        <v>@JuanjoMoliGal</v>
      </c>
      <c r="C146" s="8" t="s">
        <v>768</v>
      </c>
      <c r="D146" s="9" t="s">
        <v>769</v>
      </c>
      <c r="E146" s="10" t="str">
        <f>HYPERLINK("https://twitter.com/JuanjoMoliGal/status/1071324632609972224","1071324632609972224")</f>
        <v>1071324632609972224</v>
      </c>
      <c r="F146" s="13" t="s">
        <v>216</v>
      </c>
      <c r="G146" s="11"/>
      <c r="H146" s="11"/>
      <c r="I146" s="14">
        <v>11</v>
      </c>
      <c r="J146" s="14">
        <v>8</v>
      </c>
      <c r="K146" s="15" t="str">
        <f t="shared" si="23"/>
        <v>Twitter for Android</v>
      </c>
      <c r="L146" s="14">
        <v>1716</v>
      </c>
      <c r="M146" s="14">
        <v>888</v>
      </c>
      <c r="N146" s="14">
        <v>34</v>
      </c>
      <c r="O146" s="16"/>
      <c r="P146" s="6">
        <v>41676.419328703705</v>
      </c>
      <c r="Q146" s="11"/>
      <c r="R146" s="17" t="s">
        <v>772</v>
      </c>
      <c r="S146" s="13" t="s">
        <v>773</v>
      </c>
      <c r="T146" s="11"/>
      <c r="U146" s="10" t="str">
        <f>HYPERLINK("https://pbs.twimg.com/profile_images/1064136144869314560/797O5wk5.jpg","View")</f>
        <v>View</v>
      </c>
    </row>
    <row r="147" spans="1:21" ht="40.799999999999997">
      <c r="A147" s="6">
        <v>43442.404398148152</v>
      </c>
      <c r="B147" s="7" t="str">
        <f>HYPERLINK("https://twitter.com/juluniver","@juluniver")</f>
        <v>@juluniver</v>
      </c>
      <c r="C147" s="8" t="s">
        <v>544</v>
      </c>
      <c r="D147" s="9" t="s">
        <v>546</v>
      </c>
      <c r="E147" s="10" t="str">
        <f>HYPERLINK("https://twitter.com/juluniver/status/1071324084074659841","1071324084074659841")</f>
        <v>1071324084074659841</v>
      </c>
      <c r="F147" s="13" t="s">
        <v>548</v>
      </c>
      <c r="G147" s="11"/>
      <c r="H147" s="11"/>
      <c r="I147" s="14">
        <v>0</v>
      </c>
      <c r="J147" s="14">
        <v>0</v>
      </c>
      <c r="K147" s="15" t="str">
        <f t="shared" si="23"/>
        <v>Twitter for Android</v>
      </c>
      <c r="L147" s="14">
        <v>143</v>
      </c>
      <c r="M147" s="14">
        <v>91</v>
      </c>
      <c r="N147" s="14">
        <v>2</v>
      </c>
      <c r="O147" s="16"/>
      <c r="P147" s="6">
        <v>42166.543541666666</v>
      </c>
      <c r="Q147" s="12" t="s">
        <v>551</v>
      </c>
      <c r="R147" s="17" t="s">
        <v>553</v>
      </c>
      <c r="S147" s="11"/>
      <c r="T147" s="11"/>
      <c r="U147" s="10" t="str">
        <f>HYPERLINK("https://pbs.twimg.com/profile_images/847880241892777992/Krxx7fp-.jpg","View")</f>
        <v>View</v>
      </c>
    </row>
    <row r="148" spans="1:21" ht="30.6">
      <c r="A148" s="6">
        <v>43442.402442129634</v>
      </c>
      <c r="B148" s="7" t="str">
        <f>HYPERLINK("https://twitter.com/SergiVikingo","@SergiVikingo")</f>
        <v>@SergiVikingo</v>
      </c>
      <c r="C148" s="8" t="s">
        <v>559</v>
      </c>
      <c r="D148" s="9" t="s">
        <v>560</v>
      </c>
      <c r="E148" s="10" t="str">
        <f>HYPERLINK("https://twitter.com/SergiVikingo/status/1071323374620676096","1071323374620676096")</f>
        <v>1071323374620676096</v>
      </c>
      <c r="F148" s="11"/>
      <c r="G148" s="13" t="s">
        <v>561</v>
      </c>
      <c r="H148" s="11"/>
      <c r="I148" s="14">
        <v>0</v>
      </c>
      <c r="J148" s="14">
        <v>0</v>
      </c>
      <c r="K148" s="15" t="str">
        <f>HYPERLINK("http://twitter.com/download/iphone","Twitter for iPhone")</f>
        <v>Twitter for iPhone</v>
      </c>
      <c r="L148" s="14">
        <v>3771</v>
      </c>
      <c r="M148" s="14">
        <v>958</v>
      </c>
      <c r="N148" s="14">
        <v>22</v>
      </c>
      <c r="O148" s="16"/>
      <c r="P148" s="6">
        <v>41282.883553240739</v>
      </c>
      <c r="Q148" s="11"/>
      <c r="R148" s="18"/>
      <c r="S148" s="11"/>
      <c r="T148" s="11"/>
      <c r="U148" s="10" t="str">
        <f>HYPERLINK("https://pbs.twimg.com/profile_images/956259846638198787/5OvGUx8E.jpg","View")</f>
        <v>View</v>
      </c>
    </row>
    <row r="149" spans="1:21" ht="40.799999999999997">
      <c r="A149" s="6">
        <v>43442.402141203704</v>
      </c>
      <c r="B149" s="7" t="str">
        <f>HYPERLINK("https://twitter.com/MARIANOchipAJOY","@MARIANOchipAJOY")</f>
        <v>@MARIANOchipAJOY</v>
      </c>
      <c r="C149" s="8" t="s">
        <v>782</v>
      </c>
      <c r="D149" s="9" t="s">
        <v>783</v>
      </c>
      <c r="E149" s="10" t="str">
        <f>HYPERLINK("https://twitter.com/MARIANOchipAJOY/status/1071323265942073344","1071323265942073344")</f>
        <v>1071323265942073344</v>
      </c>
      <c r="F149" s="11"/>
      <c r="G149" s="13" t="s">
        <v>784</v>
      </c>
      <c r="H149" s="11"/>
      <c r="I149" s="14">
        <v>0</v>
      </c>
      <c r="J149" s="14">
        <v>0</v>
      </c>
      <c r="K149" s="15" t="str">
        <f>HYPERLINK("http://twitter.com/download/android","Twitter for Android")</f>
        <v>Twitter for Android</v>
      </c>
      <c r="L149" s="14">
        <v>494</v>
      </c>
      <c r="M149" s="14">
        <v>263</v>
      </c>
      <c r="N149" s="14">
        <v>11</v>
      </c>
      <c r="O149" s="16"/>
      <c r="P149" s="6">
        <v>40857.818298611113</v>
      </c>
      <c r="Q149" s="12" t="s">
        <v>786</v>
      </c>
      <c r="R149" s="17" t="s">
        <v>788</v>
      </c>
      <c r="S149" s="11"/>
      <c r="T149" s="11"/>
      <c r="U149" s="10" t="str">
        <f>HYPERLINK("https://pbs.twimg.com/profile_images/926152916158775296/sD-pM0Qw.jpg","View")</f>
        <v>View</v>
      </c>
    </row>
    <row r="150" spans="1:21" ht="20.399999999999999">
      <c r="A150" s="6">
        <v>43442.398275462961</v>
      </c>
      <c r="B150" s="7" t="str">
        <f>HYPERLINK("https://twitter.com/cuchillm","@cuchillm")</f>
        <v>@cuchillm</v>
      </c>
      <c r="C150" s="8" t="s">
        <v>789</v>
      </c>
      <c r="D150" s="9" t="s">
        <v>46</v>
      </c>
      <c r="E150" s="10" t="str">
        <f>HYPERLINK("https://twitter.com/cuchillm/status/1071321866856554498","1071321866856554498")</f>
        <v>1071321866856554498</v>
      </c>
      <c r="F150" s="13" t="s">
        <v>47</v>
      </c>
      <c r="G150" s="11"/>
      <c r="H150" s="11"/>
      <c r="I150" s="14">
        <v>0</v>
      </c>
      <c r="J150" s="14">
        <v>0</v>
      </c>
      <c r="K150" s="15" t="str">
        <f>HYPERLINK("http://twitter.com","Twitter Web Client")</f>
        <v>Twitter Web Client</v>
      </c>
      <c r="L150" s="14">
        <v>770</v>
      </c>
      <c r="M150" s="14">
        <v>376</v>
      </c>
      <c r="N150" s="14">
        <v>42</v>
      </c>
      <c r="O150" s="16"/>
      <c r="P150" s="6">
        <v>40291.935648148152</v>
      </c>
      <c r="Q150" s="12" t="s">
        <v>60</v>
      </c>
      <c r="R150" s="18"/>
      <c r="S150" s="11"/>
      <c r="T150" s="11"/>
      <c r="U150" s="10" t="str">
        <f>HYPERLINK("https://pbs.twimg.com/profile_images/948160677549658112/4CnWEZii.jpg","View")</f>
        <v>View</v>
      </c>
    </row>
    <row r="151" spans="1:21" ht="40.799999999999997">
      <c r="A151" s="6">
        <v>43442.395648148144</v>
      </c>
      <c r="B151" s="7" t="str">
        <f>HYPERLINK("https://twitter.com/PdeSamos","@PdeSamos")</f>
        <v>@PdeSamos</v>
      </c>
      <c r="C151" s="8" t="s">
        <v>794</v>
      </c>
      <c r="D151" s="9" t="s">
        <v>796</v>
      </c>
      <c r="E151" s="10" t="str">
        <f>HYPERLINK("https://twitter.com/PdeSamos/status/1071320912572633089","1071320912572633089")</f>
        <v>1071320912572633089</v>
      </c>
      <c r="F151" s="13" t="s">
        <v>797</v>
      </c>
      <c r="G151" s="11"/>
      <c r="H151" s="11"/>
      <c r="I151" s="14">
        <v>0</v>
      </c>
      <c r="J151" s="14">
        <v>0</v>
      </c>
      <c r="K151" s="15" t="str">
        <f>HYPERLINK("http://republico.ddns.net","App Libertad PdeSamos")</f>
        <v>App Libertad PdeSamos</v>
      </c>
      <c r="L151" s="14">
        <v>5398</v>
      </c>
      <c r="M151" s="14">
        <v>5441</v>
      </c>
      <c r="N151" s="14">
        <v>12</v>
      </c>
      <c r="O151" s="16"/>
      <c r="P151" s="6">
        <v>42889.820567129631</v>
      </c>
      <c r="Q151" s="12" t="s">
        <v>800</v>
      </c>
      <c r="R151" s="17" t="s">
        <v>801</v>
      </c>
      <c r="S151" s="11"/>
      <c r="T151" s="11"/>
      <c r="U151" s="10" t="str">
        <f>HYPERLINK("https://pbs.twimg.com/profile_images/871063742003511296/xK2IYbrO.jpg","View")</f>
        <v>View</v>
      </c>
    </row>
    <row r="152" spans="1:21" ht="30.6">
      <c r="A152" s="6">
        <v>43442.395370370374</v>
      </c>
      <c r="B152" s="7" t="str">
        <f>HYPERLINK("https://twitter.com/madridista025","@madridista025")</f>
        <v>@madridista025</v>
      </c>
      <c r="C152" s="20" t="s">
        <v>804</v>
      </c>
      <c r="D152" s="9" t="s">
        <v>46</v>
      </c>
      <c r="E152" s="10" t="str">
        <f>HYPERLINK("https://twitter.com/madridista025/status/1071320811993206784","1071320811993206784")</f>
        <v>1071320811993206784</v>
      </c>
      <c r="F152" s="13" t="s">
        <v>47</v>
      </c>
      <c r="G152" s="11"/>
      <c r="H152" s="11"/>
      <c r="I152" s="14">
        <v>0</v>
      </c>
      <c r="J152" s="14">
        <v>0</v>
      </c>
      <c r="K152" s="15" t="str">
        <f>HYPERLINK("http://twitter.com/download/iphone","Twitter for iPhone")</f>
        <v>Twitter for iPhone</v>
      </c>
      <c r="L152" s="14">
        <v>2560</v>
      </c>
      <c r="M152" s="14">
        <v>3060</v>
      </c>
      <c r="N152" s="14">
        <v>50</v>
      </c>
      <c r="O152" s="16"/>
      <c r="P152" s="6">
        <v>41288.665046296301</v>
      </c>
      <c r="Q152" s="12" t="s">
        <v>137</v>
      </c>
      <c r="R152" s="17" t="s">
        <v>806</v>
      </c>
      <c r="S152" s="11"/>
      <c r="T152" s="11"/>
      <c r="U152" s="10" t="str">
        <f>HYPERLINK("https://pbs.twimg.com/profile_images/744878779890339840/T357OkzY.jpg","View")</f>
        <v>View</v>
      </c>
    </row>
    <row r="153" spans="1:21" ht="40.799999999999997">
      <c r="A153" s="6">
        <v>43442.392916666664</v>
      </c>
      <c r="B153" s="7" t="str">
        <f>HYPERLINK("https://twitter.com/ecd_","@ecd_")</f>
        <v>@ecd_</v>
      </c>
      <c r="C153" s="8" t="s">
        <v>707</v>
      </c>
      <c r="D153" s="9" t="s">
        <v>91</v>
      </c>
      <c r="E153" s="10" t="str">
        <f>HYPERLINK("https://twitter.com/ecd_/status/1071319922767208448","1071319922767208448")</f>
        <v>1071319922767208448</v>
      </c>
      <c r="F153" s="13" t="s">
        <v>94</v>
      </c>
      <c r="G153" s="11"/>
      <c r="H153" s="11"/>
      <c r="I153" s="14">
        <v>1</v>
      </c>
      <c r="J153" s="14">
        <v>1</v>
      </c>
      <c r="K153" s="15" t="str">
        <f>HYPERLINK("http://dogtrack.es","DogTrack_Oficial")</f>
        <v>DogTrack_Oficial</v>
      </c>
      <c r="L153" s="14">
        <v>88447</v>
      </c>
      <c r="M153" s="14">
        <v>364</v>
      </c>
      <c r="N153" s="14">
        <v>2650</v>
      </c>
      <c r="O153" s="16"/>
      <c r="P153" s="6">
        <v>39931.730115740742</v>
      </c>
      <c r="Q153" s="26" t="s">
        <v>710</v>
      </c>
      <c r="R153" s="17" t="s">
        <v>714</v>
      </c>
      <c r="S153" s="13" t="s">
        <v>715</v>
      </c>
      <c r="T153" s="11"/>
      <c r="U153" s="10" t="str">
        <f>HYPERLINK("https://pbs.twimg.com/profile_images/720595850238554113/Y8DGFyzZ.jpg","View")</f>
        <v>View</v>
      </c>
    </row>
    <row r="154" spans="1:21" ht="20.399999999999999">
      <c r="A154" s="6">
        <v>43442.390972222223</v>
      </c>
      <c r="B154" s="7" t="str">
        <f>HYPERLINK("https://twitter.com/mathusal9","@mathusal9")</f>
        <v>@mathusal9</v>
      </c>
      <c r="C154" s="8" t="s">
        <v>812</v>
      </c>
      <c r="D154" s="9" t="s">
        <v>46</v>
      </c>
      <c r="E154" s="10" t="str">
        <f>HYPERLINK("https://twitter.com/mathusal9/status/1071319219940352000","1071319219940352000")</f>
        <v>1071319219940352000</v>
      </c>
      <c r="F154" s="13" t="s">
        <v>47</v>
      </c>
      <c r="G154" s="11"/>
      <c r="H154" s="11"/>
      <c r="I154" s="14">
        <v>0</v>
      </c>
      <c r="J154" s="14">
        <v>0</v>
      </c>
      <c r="K154" s="15" t="str">
        <f>HYPERLINK("http://twitter.com","Twitter Web Client")</f>
        <v>Twitter Web Client</v>
      </c>
      <c r="L154" s="14">
        <v>704</v>
      </c>
      <c r="M154" s="14">
        <v>1803</v>
      </c>
      <c r="N154" s="14">
        <v>3</v>
      </c>
      <c r="O154" s="16"/>
      <c r="P154" s="6">
        <v>43049.798819444448</v>
      </c>
      <c r="Q154" s="12" t="s">
        <v>449</v>
      </c>
      <c r="R154" s="17" t="s">
        <v>813</v>
      </c>
      <c r="S154" s="11"/>
      <c r="T154" s="11"/>
      <c r="U154" s="10" t="str">
        <f>HYPERLINK("https://pbs.twimg.com/profile_images/936494587761385472/4QRLIAtv.jpg","View")</f>
        <v>View</v>
      </c>
    </row>
    <row r="155" spans="1:21" ht="40.799999999999997">
      <c r="A155" s="6">
        <v>43442.389780092592</v>
      </c>
      <c r="B155" s="7" t="str">
        <f>HYPERLINK("https://twitter.com/CorderitoDeMary","@CorderitoDeMary")</f>
        <v>@CorderitoDeMary</v>
      </c>
      <c r="C155" s="8" t="s">
        <v>562</v>
      </c>
      <c r="D155" s="9" t="s">
        <v>563</v>
      </c>
      <c r="E155" s="10" t="str">
        <f>HYPERLINK("https://twitter.com/CorderitoDeMary/status/1071318786140200960","1071318786140200960")</f>
        <v>1071318786140200960</v>
      </c>
      <c r="F155" s="11"/>
      <c r="G155" s="11"/>
      <c r="H155" s="11"/>
      <c r="I155" s="14">
        <v>0</v>
      </c>
      <c r="J155" s="14">
        <v>0</v>
      </c>
      <c r="K155" s="15" t="str">
        <f>HYPERLINK("http://twitter.com/download/android","Twitter for Android")</f>
        <v>Twitter for Android</v>
      </c>
      <c r="L155" s="14">
        <v>92</v>
      </c>
      <c r="M155" s="14">
        <v>268</v>
      </c>
      <c r="N155" s="14">
        <v>1</v>
      </c>
      <c r="O155" s="16"/>
      <c r="P155" s="6">
        <v>43093.528425925921</v>
      </c>
      <c r="Q155" s="11"/>
      <c r="R155" s="17" t="s">
        <v>565</v>
      </c>
      <c r="S155" s="11"/>
      <c r="T155" s="11"/>
      <c r="U155" s="10" t="str">
        <f>HYPERLINK("https://pbs.twimg.com/profile_images/944896839467364353/xaPpgEGL.jpg","View")</f>
        <v>View</v>
      </c>
    </row>
    <row r="156" spans="1:21" ht="61.2">
      <c r="A156" s="6">
        <v>43442.387233796297</v>
      </c>
      <c r="B156" s="7" t="str">
        <f>HYPERLINK("https://twitter.com/Yolanda18691613","@Yolanda18691613")</f>
        <v>@Yolanda18691613</v>
      </c>
      <c r="C156" s="8" t="s">
        <v>568</v>
      </c>
      <c r="D156" s="9" t="s">
        <v>569</v>
      </c>
      <c r="E156" s="10" t="str">
        <f>HYPERLINK("https://twitter.com/Yolanda18691613/status/1071317862512517121","1071317862512517121")</f>
        <v>1071317862512517121</v>
      </c>
      <c r="F156" s="13" t="s">
        <v>570</v>
      </c>
      <c r="G156" s="13" t="s">
        <v>571</v>
      </c>
      <c r="H156" s="11"/>
      <c r="I156" s="14">
        <v>0</v>
      </c>
      <c r="J156" s="14">
        <v>0</v>
      </c>
      <c r="K156" s="15" t="str">
        <f>HYPERLINK("http://twitter.com/download/iphone","Twitter for iPhone")</f>
        <v>Twitter for iPhone</v>
      </c>
      <c r="L156" s="14">
        <v>163</v>
      </c>
      <c r="M156" s="14">
        <v>623</v>
      </c>
      <c r="N156" s="14">
        <v>2</v>
      </c>
      <c r="O156" s="16"/>
      <c r="P156" s="6">
        <v>42168.488298611112</v>
      </c>
      <c r="Q156" s="11"/>
      <c r="R156" s="18"/>
      <c r="S156" s="11"/>
      <c r="T156" s="11"/>
      <c r="U156" s="10" t="str">
        <f>HYPERLINK("https://pbs.twimg.com/profile_images/1067165433873252363/vAhc-aPk.jpg","View")</f>
        <v>View</v>
      </c>
    </row>
    <row r="157" spans="1:21" ht="51">
      <c r="A157" s="6">
        <v>43442.38208333333</v>
      </c>
      <c r="B157" s="7" t="str">
        <f>HYPERLINK("https://twitter.com/Thorodinson76","@Thorodinson76")</f>
        <v>@Thorodinson76</v>
      </c>
      <c r="C157" s="8" t="s">
        <v>572</v>
      </c>
      <c r="D157" s="9" t="s">
        <v>573</v>
      </c>
      <c r="E157" s="10" t="str">
        <f>HYPERLINK("https://twitter.com/Thorodinson76/status/1071315996286296064","1071315996286296064")</f>
        <v>1071315996286296064</v>
      </c>
      <c r="F157" s="13" t="s">
        <v>574</v>
      </c>
      <c r="G157" s="11"/>
      <c r="H157" s="11"/>
      <c r="I157" s="14">
        <v>0</v>
      </c>
      <c r="J157" s="14">
        <v>0</v>
      </c>
      <c r="K157" s="15" t="str">
        <f>HYPERLINK("http://twitter.com/download/android","Twitter for Android")</f>
        <v>Twitter for Android</v>
      </c>
      <c r="L157" s="14">
        <v>812</v>
      </c>
      <c r="M157" s="14">
        <v>2289</v>
      </c>
      <c r="N157" s="14">
        <v>13</v>
      </c>
      <c r="O157" s="16"/>
      <c r="P157" s="6">
        <v>41839.427291666667</v>
      </c>
      <c r="Q157" s="12" t="s">
        <v>29</v>
      </c>
      <c r="R157" s="17" t="s">
        <v>575</v>
      </c>
      <c r="S157" s="11"/>
      <c r="T157" s="11"/>
      <c r="U157" s="10" t="str">
        <f>HYPERLINK("https://pbs.twimg.com/profile_images/854052266541817857/RVDB8KJI.jpg","View")</f>
        <v>View</v>
      </c>
    </row>
    <row r="158" spans="1:21" ht="20.399999999999999">
      <c r="A158" s="6">
        <v>43442.380532407406</v>
      </c>
      <c r="B158" s="7" t="str">
        <f>HYPERLINK("https://twitter.com/pablo_sanchez72","@pablo_sanchez72")</f>
        <v>@pablo_sanchez72</v>
      </c>
      <c r="C158" s="8" t="s">
        <v>823</v>
      </c>
      <c r="D158" s="9" t="s">
        <v>418</v>
      </c>
      <c r="E158" s="10" t="str">
        <f>HYPERLINK("https://twitter.com/pablo_sanchez72/status/1071315435893784576","1071315435893784576")</f>
        <v>1071315435893784576</v>
      </c>
      <c r="F158" s="13" t="s">
        <v>228</v>
      </c>
      <c r="G158" s="11"/>
      <c r="H158" s="11"/>
      <c r="I158" s="14">
        <v>0</v>
      </c>
      <c r="J158" s="14">
        <v>0</v>
      </c>
      <c r="K158" s="15" t="str">
        <f>HYPERLINK("http://twitter.com","Twitter Web Client")</f>
        <v>Twitter Web Client</v>
      </c>
      <c r="L158" s="14">
        <v>159</v>
      </c>
      <c r="M158" s="14">
        <v>297</v>
      </c>
      <c r="N158" s="14">
        <v>7</v>
      </c>
      <c r="O158" s="16"/>
      <c r="P158" s="6">
        <v>40752.076527777775</v>
      </c>
      <c r="Q158" s="12" t="s">
        <v>827</v>
      </c>
      <c r="R158" s="17" t="s">
        <v>828</v>
      </c>
      <c r="S158" s="11"/>
      <c r="T158" s="11"/>
      <c r="U158" s="10" t="str">
        <f>HYPERLINK("https://pbs.twimg.com/profile_images/798222647633072132/jXZXBQfO.jpg","View")</f>
        <v>View</v>
      </c>
    </row>
    <row r="159" spans="1:21" ht="40.799999999999997">
      <c r="A159" s="6">
        <v>43442.378738425927</v>
      </c>
      <c r="B159" s="7" t="str">
        <f>HYPERLINK("https://twitter.com/onesimoeduardo","@onesimoeduardo")</f>
        <v>@onesimoeduardo</v>
      </c>
      <c r="C159" s="8" t="s">
        <v>831</v>
      </c>
      <c r="D159" s="9" t="s">
        <v>832</v>
      </c>
      <c r="E159" s="10" t="str">
        <f>HYPERLINK("https://twitter.com/onesimoeduardo/status/1071314783541084160","1071314783541084160")</f>
        <v>1071314783541084160</v>
      </c>
      <c r="F159" s="13" t="s">
        <v>101</v>
      </c>
      <c r="G159" s="11"/>
      <c r="H159" s="11"/>
      <c r="I159" s="14">
        <v>0</v>
      </c>
      <c r="J159" s="14">
        <v>0</v>
      </c>
      <c r="K159" s="15" t="str">
        <f t="shared" ref="K159:K160" si="24">HYPERLINK("http://twitter.com/download/android","Twitter for Android")</f>
        <v>Twitter for Android</v>
      </c>
      <c r="L159" s="14">
        <v>1204</v>
      </c>
      <c r="M159" s="14">
        <v>1209</v>
      </c>
      <c r="N159" s="14">
        <v>36</v>
      </c>
      <c r="O159" s="16"/>
      <c r="P159" s="6">
        <v>41648.984918981485</v>
      </c>
      <c r="Q159" s="12" t="s">
        <v>834</v>
      </c>
      <c r="R159" s="17" t="s">
        <v>836</v>
      </c>
      <c r="S159" s="11"/>
      <c r="T159" s="11"/>
      <c r="U159" s="10" t="str">
        <f>HYPERLINK("https://pbs.twimg.com/profile_images/1050632055116029953/7NjHqXXR.jpg","View")</f>
        <v>View</v>
      </c>
    </row>
    <row r="160" spans="1:21" ht="20.399999999999999">
      <c r="A160" s="6">
        <v>43442.37572916667</v>
      </c>
      <c r="B160" s="7" t="str">
        <f>HYPERLINK("https://twitter.com/Julianvirome","@Julianvirome")</f>
        <v>@Julianvirome</v>
      </c>
      <c r="C160" s="8" t="s">
        <v>385</v>
      </c>
      <c r="D160" s="9" t="s">
        <v>837</v>
      </c>
      <c r="E160" s="10" t="str">
        <f>HYPERLINK("https://twitter.com/Julianvirome/status/1071313692736798720","1071313692736798720")</f>
        <v>1071313692736798720</v>
      </c>
      <c r="F160" s="11"/>
      <c r="G160" s="13" t="s">
        <v>838</v>
      </c>
      <c r="H160" s="11"/>
      <c r="I160" s="14">
        <v>3</v>
      </c>
      <c r="J160" s="14">
        <v>0</v>
      </c>
      <c r="K160" s="15" t="str">
        <f t="shared" si="24"/>
        <v>Twitter for Android</v>
      </c>
      <c r="L160" s="14">
        <v>2630</v>
      </c>
      <c r="M160" s="14">
        <v>4994</v>
      </c>
      <c r="N160" s="14">
        <v>23</v>
      </c>
      <c r="O160" s="16"/>
      <c r="P160" s="6">
        <v>40630.875810185185</v>
      </c>
      <c r="Q160" s="12" t="s">
        <v>29</v>
      </c>
      <c r="R160" s="17" t="s">
        <v>387</v>
      </c>
      <c r="S160" s="11"/>
      <c r="T160" s="11"/>
      <c r="U160" s="10" t="str">
        <f>HYPERLINK("https://pbs.twimg.com/profile_images/1015475281803530241/aBROVKXy.jpg","View")</f>
        <v>View</v>
      </c>
    </row>
    <row r="161" spans="1:21" ht="40.799999999999997">
      <c r="A161" s="6">
        <v>43442.373425925922</v>
      </c>
      <c r="B161" s="7" t="str">
        <f>HYPERLINK("https://twitter.com/PdeSamos","@PdeSamos")</f>
        <v>@PdeSamos</v>
      </c>
      <c r="C161" s="8" t="s">
        <v>794</v>
      </c>
      <c r="D161" s="9" t="s">
        <v>841</v>
      </c>
      <c r="E161" s="10" t="str">
        <f>HYPERLINK("https://twitter.com/PdeSamos/status/1071312859919986688","1071312859919986688")</f>
        <v>1071312859919986688</v>
      </c>
      <c r="F161" s="13" t="s">
        <v>843</v>
      </c>
      <c r="G161" s="11"/>
      <c r="H161" s="11"/>
      <c r="I161" s="14">
        <v>0</v>
      </c>
      <c r="J161" s="14">
        <v>0</v>
      </c>
      <c r="K161" s="15" t="str">
        <f>HYPERLINK("http://republico.ddns.net","App Libertad PdeSamos")</f>
        <v>App Libertad PdeSamos</v>
      </c>
      <c r="L161" s="14">
        <v>5398</v>
      </c>
      <c r="M161" s="14">
        <v>5441</v>
      </c>
      <c r="N161" s="14">
        <v>12</v>
      </c>
      <c r="O161" s="16"/>
      <c r="P161" s="6">
        <v>42889.820567129631</v>
      </c>
      <c r="Q161" s="12" t="s">
        <v>800</v>
      </c>
      <c r="R161" s="17" t="s">
        <v>801</v>
      </c>
      <c r="S161" s="11"/>
      <c r="T161" s="11"/>
      <c r="U161" s="10" t="str">
        <f>HYPERLINK("https://pbs.twimg.com/profile_images/871063742003511296/xK2IYbrO.jpg","View")</f>
        <v>View</v>
      </c>
    </row>
    <row r="162" spans="1:21" ht="40.799999999999997">
      <c r="A162" s="6">
        <v>43442.372789351852</v>
      </c>
      <c r="B162" s="7" t="str">
        <f>HYPERLINK("https://twitter.com/AlainCuenca","@AlainCuenca")</f>
        <v>@AlainCuenca</v>
      </c>
      <c r="C162" s="8" t="s">
        <v>846</v>
      </c>
      <c r="D162" s="9" t="s">
        <v>847</v>
      </c>
      <c r="E162" s="10" t="str">
        <f>HYPERLINK("https://twitter.com/AlainCuenca/status/1071312630218977280","1071312630218977280")</f>
        <v>1071312630218977280</v>
      </c>
      <c r="F162" s="13" t="s">
        <v>216</v>
      </c>
      <c r="G162" s="11"/>
      <c r="H162" s="11"/>
      <c r="I162" s="14">
        <v>1</v>
      </c>
      <c r="J162" s="14">
        <v>0</v>
      </c>
      <c r="K162" s="15" t="str">
        <f t="shared" ref="K162:K164" si="25">HYPERLINK("http://twitter.com/download/android","Twitter for Android")</f>
        <v>Twitter for Android</v>
      </c>
      <c r="L162" s="14">
        <v>3553</v>
      </c>
      <c r="M162" s="14">
        <v>697</v>
      </c>
      <c r="N162" s="14">
        <v>110</v>
      </c>
      <c r="O162" s="16"/>
      <c r="P162" s="6">
        <v>41040.434675925928</v>
      </c>
      <c r="Q162" s="12" t="s">
        <v>29</v>
      </c>
      <c r="R162" s="17" t="s">
        <v>850</v>
      </c>
      <c r="S162" s="13" t="s">
        <v>851</v>
      </c>
      <c r="T162" s="11"/>
      <c r="U162" s="10" t="str">
        <f>HYPERLINK("https://pbs.twimg.com/profile_images/890136731172909058/a4hkJzEK.jpg","View")</f>
        <v>View</v>
      </c>
    </row>
    <row r="163" spans="1:21" ht="51">
      <c r="A163" s="6">
        <v>43442.372499999998</v>
      </c>
      <c r="B163" s="7" t="str">
        <f>HYPERLINK("https://twitter.com/josepmguardiola","@josepmguardiola")</f>
        <v>@josepmguardiola</v>
      </c>
      <c r="C163" s="8" t="s">
        <v>579</v>
      </c>
      <c r="D163" s="9" t="s">
        <v>39</v>
      </c>
      <c r="E163" s="10" t="str">
        <f>HYPERLINK("https://twitter.com/josepmguardiola/status/1071312525801738240","1071312525801738240")</f>
        <v>1071312525801738240</v>
      </c>
      <c r="F163" s="13" t="s">
        <v>580</v>
      </c>
      <c r="G163" s="11"/>
      <c r="H163" s="11"/>
      <c r="I163" s="14">
        <v>0</v>
      </c>
      <c r="J163" s="14">
        <v>0</v>
      </c>
      <c r="K163" s="15" t="str">
        <f t="shared" si="25"/>
        <v>Twitter for Android</v>
      </c>
      <c r="L163" s="14">
        <v>205</v>
      </c>
      <c r="M163" s="14">
        <v>220</v>
      </c>
      <c r="N163" s="14">
        <v>2</v>
      </c>
      <c r="O163" s="16"/>
      <c r="P163" s="6">
        <v>40867.457106481481</v>
      </c>
      <c r="Q163" s="12" t="s">
        <v>581</v>
      </c>
      <c r="R163" s="17" t="s">
        <v>583</v>
      </c>
      <c r="S163" s="11"/>
      <c r="T163" s="11"/>
      <c r="U163" s="10" t="str">
        <f>HYPERLINK("https://pbs.twimg.com/profile_images/866762352947073025/fCHiTSq_.jpg","View")</f>
        <v>View</v>
      </c>
    </row>
    <row r="164" spans="1:21" ht="40.799999999999997">
      <c r="A164" s="6">
        <v>43442.369305555556</v>
      </c>
      <c r="B164" s="7" t="str">
        <f>HYPERLINK("https://twitter.com/manzanequep","@manzanequep")</f>
        <v>@manzanequep</v>
      </c>
      <c r="C164" s="8" t="s">
        <v>855</v>
      </c>
      <c r="D164" s="9" t="s">
        <v>856</v>
      </c>
      <c r="E164" s="10" t="str">
        <f>HYPERLINK("https://twitter.com/manzanequep/status/1071311366382870528","1071311366382870528")</f>
        <v>1071311366382870528</v>
      </c>
      <c r="F164" s="12" t="s">
        <v>857</v>
      </c>
      <c r="G164" s="11"/>
      <c r="H164" s="11"/>
      <c r="I164" s="14">
        <v>0</v>
      </c>
      <c r="J164" s="14">
        <v>0</v>
      </c>
      <c r="K164" s="15" t="str">
        <f t="shared" si="25"/>
        <v>Twitter for Android</v>
      </c>
      <c r="L164" s="14">
        <v>584</v>
      </c>
      <c r="M164" s="14">
        <v>1531</v>
      </c>
      <c r="N164" s="14">
        <v>0</v>
      </c>
      <c r="O164" s="16"/>
      <c r="P164" s="6">
        <v>42137.822638888887</v>
      </c>
      <c r="Q164" s="12" t="s">
        <v>790</v>
      </c>
      <c r="R164" s="17" t="s">
        <v>858</v>
      </c>
      <c r="S164" s="11"/>
      <c r="T164" s="11"/>
      <c r="U164" s="10" t="str">
        <f>HYPERLINK("https://pbs.twimg.com/profile_images/895612705851277312/qBB2GUfd.jpg","View")</f>
        <v>View</v>
      </c>
    </row>
    <row r="165" spans="1:21" ht="20.399999999999999">
      <c r="A165" s="6">
        <v>43442.367349537039</v>
      </c>
      <c r="B165" s="7" t="str">
        <f>HYPERLINK("https://twitter.com/excometals","@excometals")</f>
        <v>@excometals</v>
      </c>
      <c r="C165" s="8" t="s">
        <v>859</v>
      </c>
      <c r="D165" s="9" t="s">
        <v>860</v>
      </c>
      <c r="E165" s="10" t="str">
        <f>HYPERLINK("https://twitter.com/excometals/status/1071310656908001280","1071310656908001280")</f>
        <v>1071310656908001280</v>
      </c>
      <c r="F165" s="13" t="s">
        <v>861</v>
      </c>
      <c r="G165" s="11"/>
      <c r="H165" s="11"/>
      <c r="I165" s="14">
        <v>0</v>
      </c>
      <c r="J165" s="14">
        <v>0</v>
      </c>
      <c r="K165" s="15" t="str">
        <f>HYPERLINK("http://www.facebook.com/twitter","Facebook")</f>
        <v>Facebook</v>
      </c>
      <c r="L165" s="14">
        <v>963</v>
      </c>
      <c r="M165" s="14">
        <v>499</v>
      </c>
      <c r="N165" s="14">
        <v>57</v>
      </c>
      <c r="O165" s="16"/>
      <c r="P165" s="6">
        <v>40623.696446759262</v>
      </c>
      <c r="Q165" s="12" t="s">
        <v>137</v>
      </c>
      <c r="R165" s="18"/>
      <c r="S165" s="13" t="s">
        <v>864</v>
      </c>
      <c r="T165" s="11"/>
      <c r="U165" s="10" t="str">
        <f>HYPERLINK("https://pbs.twimg.com/profile_images/1046250365228863488/Zl0YB5zT.jpg","View")</f>
        <v>View</v>
      </c>
    </row>
    <row r="166" spans="1:21" ht="40.799999999999997">
      <c r="A166" s="6">
        <v>43442.364965277782</v>
      </c>
      <c r="B166" s="7" t="str">
        <f>HYPERLINK("https://twitter.com/PabloSez","@PabloSez")</f>
        <v>@PabloSez</v>
      </c>
      <c r="C166" s="8" t="s">
        <v>868</v>
      </c>
      <c r="D166" s="9" t="s">
        <v>869</v>
      </c>
      <c r="E166" s="10" t="str">
        <f>HYPERLINK("https://twitter.com/PabloSez/status/1071309792172486656","1071309792172486656")</f>
        <v>1071309792172486656</v>
      </c>
      <c r="F166" s="13" t="s">
        <v>47</v>
      </c>
      <c r="G166" s="11"/>
      <c r="H166" s="11"/>
      <c r="I166" s="14">
        <v>121</v>
      </c>
      <c r="J166" s="14">
        <v>193</v>
      </c>
      <c r="K166" s="15" t="str">
        <f t="shared" ref="K166:K167" si="26">HYPERLINK("http://twitter.com/download/android","Twitter for Android")</f>
        <v>Twitter for Android</v>
      </c>
      <c r="L166" s="14">
        <v>6545</v>
      </c>
      <c r="M166" s="14">
        <v>3758</v>
      </c>
      <c r="N166" s="14">
        <v>31</v>
      </c>
      <c r="O166" s="16"/>
      <c r="P166" s="6">
        <v>41020.369166666671</v>
      </c>
      <c r="Q166" s="12" t="s">
        <v>29</v>
      </c>
      <c r="R166" s="17" t="s">
        <v>872</v>
      </c>
      <c r="S166" s="13" t="s">
        <v>873</v>
      </c>
      <c r="T166" s="11"/>
      <c r="U166" s="10" t="str">
        <f>HYPERLINK("https://pbs.twimg.com/profile_images/842065055885742080/PL5_1367.jpg","View")</f>
        <v>View</v>
      </c>
    </row>
    <row r="167" spans="1:21" ht="81.599999999999994">
      <c r="A167" s="6">
        <v>43442.357627314814</v>
      </c>
      <c r="B167" s="7" t="str">
        <f>HYPERLINK("https://twitter.com/DoriaBorrell","@DoriaBorrell")</f>
        <v>@DoriaBorrell</v>
      </c>
      <c r="C167" s="8" t="s">
        <v>875</v>
      </c>
      <c r="D167" s="9" t="s">
        <v>877</v>
      </c>
      <c r="E167" s="10" t="str">
        <f>HYPERLINK("https://twitter.com/DoriaBorrell/status/1071307136053989376","1071307136053989376")</f>
        <v>1071307136053989376</v>
      </c>
      <c r="F167" s="13" t="s">
        <v>879</v>
      </c>
      <c r="G167" s="13" t="s">
        <v>880</v>
      </c>
      <c r="H167" s="11"/>
      <c r="I167" s="14">
        <v>0</v>
      </c>
      <c r="J167" s="14">
        <v>3</v>
      </c>
      <c r="K167" s="15" t="str">
        <f t="shared" si="26"/>
        <v>Twitter for Android</v>
      </c>
      <c r="L167" s="14">
        <v>254</v>
      </c>
      <c r="M167" s="14">
        <v>618</v>
      </c>
      <c r="N167" s="14">
        <v>2</v>
      </c>
      <c r="O167" s="16"/>
      <c r="P167" s="6">
        <v>41600.563472222224</v>
      </c>
      <c r="Q167" s="12" t="s">
        <v>288</v>
      </c>
      <c r="R167" s="17" t="s">
        <v>881</v>
      </c>
      <c r="S167" s="13" t="s">
        <v>882</v>
      </c>
      <c r="T167" s="11"/>
      <c r="U167" s="10" t="str">
        <f>HYPERLINK("https://pbs.twimg.com/profile_images/1057953868427022336/kw288Gc_.jpg","View")</f>
        <v>View</v>
      </c>
    </row>
    <row r="168" spans="1:21" ht="40.799999999999997">
      <c r="A168" s="6">
        <v>43442.354212962964</v>
      </c>
      <c r="B168" s="7" t="str">
        <f>HYPERLINK("https://twitter.com/El_Plural","@El_Plural")</f>
        <v>@El_Plural</v>
      </c>
      <c r="C168" s="8" t="s">
        <v>884</v>
      </c>
      <c r="D168" s="9" t="s">
        <v>885</v>
      </c>
      <c r="E168" s="10" t="str">
        <f>HYPERLINK("https://twitter.com/El_Plural/status/1071305896075149312","1071305896075149312")</f>
        <v>1071305896075149312</v>
      </c>
      <c r="F168" s="13" t="s">
        <v>886</v>
      </c>
      <c r="G168" s="11"/>
      <c r="H168" s="11"/>
      <c r="I168" s="14">
        <v>10</v>
      </c>
      <c r="J168" s="14">
        <v>7</v>
      </c>
      <c r="K168" s="15" t="str">
        <f>HYPERLINK("http://www.wearebab.com","Comitium5 BAB")</f>
        <v>Comitium5 BAB</v>
      </c>
      <c r="L168" s="14">
        <v>72031</v>
      </c>
      <c r="M168" s="14">
        <v>1650</v>
      </c>
      <c r="N168" s="14">
        <v>2018</v>
      </c>
      <c r="O168" s="16"/>
      <c r="P168" s="6">
        <v>40351.51053240741</v>
      </c>
      <c r="Q168" s="12" t="s">
        <v>137</v>
      </c>
      <c r="R168" s="17" t="s">
        <v>889</v>
      </c>
      <c r="S168" s="13" t="s">
        <v>890</v>
      </c>
      <c r="T168" s="11"/>
      <c r="U168" s="10" t="str">
        <f>HYPERLINK("https://pbs.twimg.com/profile_images/1017707018138857473/kUt8X2tn.jpg","View")</f>
        <v>View</v>
      </c>
    </row>
    <row r="169" spans="1:21" ht="40.799999999999997">
      <c r="A169" s="6">
        <v>43442.349444444444</v>
      </c>
      <c r="B169" s="7" t="str">
        <f>HYPERLINK("https://twitter.com/cginerp","@cginerp")</f>
        <v>@cginerp</v>
      </c>
      <c r="C169" s="8" t="s">
        <v>589</v>
      </c>
      <c r="D169" s="9" t="s">
        <v>590</v>
      </c>
      <c r="E169" s="10" t="str">
        <f>HYPERLINK("https://twitter.com/cginerp/status/1071304170345517056","1071304170345517056")</f>
        <v>1071304170345517056</v>
      </c>
      <c r="F169" s="13" t="s">
        <v>101</v>
      </c>
      <c r="G169" s="11"/>
      <c r="H169" s="11"/>
      <c r="I169" s="14">
        <v>0</v>
      </c>
      <c r="J169" s="14">
        <v>0</v>
      </c>
      <c r="K169" s="15" t="str">
        <f>HYPERLINK("http://twitter.com/download/iphone","Twitter for iPhone")</f>
        <v>Twitter for iPhone</v>
      </c>
      <c r="L169" s="14">
        <v>931</v>
      </c>
      <c r="M169" s="14">
        <v>474</v>
      </c>
      <c r="N169" s="14">
        <v>25</v>
      </c>
      <c r="O169" s="16"/>
      <c r="P169" s="6">
        <v>39928.577986111108</v>
      </c>
      <c r="Q169" s="12" t="s">
        <v>137</v>
      </c>
      <c r="R169" s="17" t="s">
        <v>591</v>
      </c>
      <c r="S169" s="13" t="s">
        <v>592</v>
      </c>
      <c r="T169" s="11"/>
      <c r="U169" s="10" t="str">
        <f>HYPERLINK("https://pbs.twimg.com/profile_images/952623907135262720/zEkdGQB0.jpg","View")</f>
        <v>View</v>
      </c>
    </row>
    <row r="170" spans="1:21" ht="40.799999999999997">
      <c r="A170" s="6">
        <v>43442.347395833334</v>
      </c>
      <c r="B170" s="7" t="str">
        <f>HYPERLINK("https://twitter.com/maria53402829","@maria53402829")</f>
        <v>@maria53402829</v>
      </c>
      <c r="C170" s="8" t="s">
        <v>595</v>
      </c>
      <c r="D170" s="9" t="s">
        <v>596</v>
      </c>
      <c r="E170" s="10" t="str">
        <f>HYPERLINK("https://twitter.com/maria53402829/status/1071303428998094848","1071303428998094848")</f>
        <v>1071303428998094848</v>
      </c>
      <c r="F170" s="11"/>
      <c r="G170" s="11"/>
      <c r="H170" s="11"/>
      <c r="I170" s="14">
        <v>1</v>
      </c>
      <c r="J170" s="14">
        <v>1</v>
      </c>
      <c r="K170" s="15" t="str">
        <f>HYPERLINK("http://twitter.com/download/android","Twitter for Android")</f>
        <v>Twitter for Android</v>
      </c>
      <c r="L170" s="14">
        <v>55</v>
      </c>
      <c r="M170" s="14">
        <v>83</v>
      </c>
      <c r="N170" s="14">
        <v>1</v>
      </c>
      <c r="O170" s="16"/>
      <c r="P170" s="6">
        <v>43002.843124999999</v>
      </c>
      <c r="Q170" s="12" t="s">
        <v>602</v>
      </c>
      <c r="R170" s="17" t="s">
        <v>603</v>
      </c>
      <c r="S170" s="11"/>
      <c r="T170" s="11"/>
      <c r="U170" s="10" t="str">
        <f>HYPERLINK("https://pbs.twimg.com/profile_images/1021914970282504193/X_E0v6uK.jpg","View")</f>
        <v>View</v>
      </c>
    </row>
    <row r="171" spans="1:21" ht="40.799999999999997">
      <c r="A171" s="6">
        <v>43442.331377314811</v>
      </c>
      <c r="B171" s="7" t="str">
        <f>HYPERLINK("https://twitter.com/wizfun","@wizfun")</f>
        <v>@wizfun</v>
      </c>
      <c r="C171" s="8" t="s">
        <v>895</v>
      </c>
      <c r="D171" s="9" t="s">
        <v>896</v>
      </c>
      <c r="E171" s="10" t="str">
        <f>HYPERLINK("https://twitter.com/wizfun/status/1071297620717551616","1071297620717551616")</f>
        <v>1071297620717551616</v>
      </c>
      <c r="F171" s="13" t="s">
        <v>897</v>
      </c>
      <c r="G171" s="11"/>
      <c r="H171" s="11"/>
      <c r="I171" s="14">
        <v>0</v>
      </c>
      <c r="J171" s="14">
        <v>0</v>
      </c>
      <c r="K171" s="15" t="str">
        <f t="shared" ref="K171:K172" si="27">HYPERLINK("http://twitter.com","Twitter Web Client")</f>
        <v>Twitter Web Client</v>
      </c>
      <c r="L171" s="14">
        <v>200</v>
      </c>
      <c r="M171" s="14">
        <v>291</v>
      </c>
      <c r="N171" s="14">
        <v>13</v>
      </c>
      <c r="O171" s="16"/>
      <c r="P171" s="6">
        <v>40266.80096064815</v>
      </c>
      <c r="Q171" s="12" t="s">
        <v>137</v>
      </c>
      <c r="R171" s="17" t="s">
        <v>898</v>
      </c>
      <c r="S171" s="13" t="s">
        <v>899</v>
      </c>
      <c r="T171" s="11"/>
      <c r="U171" s="10" t="str">
        <f>HYPERLINK("https://pbs.twimg.com/profile_images/1200922608/39422f431da47e9d825fb425d6cbae8136226167.jpg","View")</f>
        <v>View</v>
      </c>
    </row>
    <row r="172" spans="1:21" ht="51">
      <c r="A172" s="6">
        <v>43442.322708333333</v>
      </c>
      <c r="B172" s="7" t="str">
        <f>HYPERLINK("https://twitter.com/huelvayorktimes","@huelvayorktimes")</f>
        <v>@huelvayorktimes</v>
      </c>
      <c r="C172" s="8" t="s">
        <v>609</v>
      </c>
      <c r="D172" s="9" t="s">
        <v>610</v>
      </c>
      <c r="E172" s="10" t="str">
        <f>HYPERLINK("https://twitter.com/huelvayorktimes/status/1071294481373237248","1071294481373237248")</f>
        <v>1071294481373237248</v>
      </c>
      <c r="F172" s="11"/>
      <c r="G172" s="13" t="s">
        <v>613</v>
      </c>
      <c r="H172" s="11"/>
      <c r="I172" s="14">
        <v>1</v>
      </c>
      <c r="J172" s="14">
        <v>2</v>
      </c>
      <c r="K172" s="15" t="str">
        <f t="shared" si="27"/>
        <v>Twitter Web Client</v>
      </c>
      <c r="L172" s="14">
        <v>55</v>
      </c>
      <c r="M172" s="14">
        <v>364</v>
      </c>
      <c r="N172" s="14">
        <v>0</v>
      </c>
      <c r="O172" s="16"/>
      <c r="P172" s="6">
        <v>42168.70893518519</v>
      </c>
      <c r="Q172" s="12" t="s">
        <v>616</v>
      </c>
      <c r="R172" s="17" t="s">
        <v>617</v>
      </c>
      <c r="S172" s="11"/>
      <c r="T172" s="11"/>
      <c r="U172" s="10" t="str">
        <f>HYPERLINK("https://pbs.twimg.com/profile_images/920709570070220800/_eCPEynQ.jpg","View")</f>
        <v>View</v>
      </c>
    </row>
    <row r="173" spans="1:21" ht="20.399999999999999">
      <c r="A173" s="6">
        <v>43442.313171296293</v>
      </c>
      <c r="B173" s="7" t="str">
        <f>HYPERLINK("https://twitter.com/tosego","@tosego")</f>
        <v>@tosego</v>
      </c>
      <c r="C173" s="8" t="s">
        <v>903</v>
      </c>
      <c r="D173" s="9" t="s">
        <v>904</v>
      </c>
      <c r="E173" s="10" t="str">
        <f>HYPERLINK("https://twitter.com/tosego/status/1071291023186382848","1071291023186382848")</f>
        <v>1071291023186382848</v>
      </c>
      <c r="F173" s="12" t="s">
        <v>905</v>
      </c>
      <c r="G173" s="13" t="s">
        <v>906</v>
      </c>
      <c r="H173" s="11"/>
      <c r="I173" s="14">
        <v>0</v>
      </c>
      <c r="J173" s="14">
        <v>1</v>
      </c>
      <c r="K173" s="15" t="str">
        <f t="shared" ref="K173:K174" si="28">HYPERLINK("http://twitter.com/download/android","Twitter for Android")</f>
        <v>Twitter for Android</v>
      </c>
      <c r="L173" s="14">
        <v>54</v>
      </c>
      <c r="M173" s="14">
        <v>43</v>
      </c>
      <c r="N173" s="14">
        <v>4</v>
      </c>
      <c r="O173" s="16"/>
      <c r="P173" s="6">
        <v>41542.946331018517</v>
      </c>
      <c r="Q173" s="12" t="s">
        <v>909</v>
      </c>
      <c r="R173" s="17" t="s">
        <v>910</v>
      </c>
      <c r="S173" s="13" t="s">
        <v>911</v>
      </c>
      <c r="T173" s="11"/>
      <c r="U173" s="10" t="str">
        <f>HYPERLINK("https://pbs.twimg.com/profile_images/977449919916240896/M8I7nqW_.jpg","View")</f>
        <v>View</v>
      </c>
    </row>
    <row r="174" spans="1:21" ht="20.399999999999999">
      <c r="A174" s="6">
        <v>43442.295856481476</v>
      </c>
      <c r="B174" s="7" t="str">
        <f>HYPERLINK("https://twitter.com/CaldaroneCeres","@CaldaroneCeres")</f>
        <v>@CaldaroneCeres</v>
      </c>
      <c r="C174" s="8" t="s">
        <v>913</v>
      </c>
      <c r="D174" s="9" t="s">
        <v>225</v>
      </c>
      <c r="E174" s="10" t="str">
        <f>HYPERLINK("https://twitter.com/CaldaroneCeres/status/1071284748889268224","1071284748889268224")</f>
        <v>1071284748889268224</v>
      </c>
      <c r="F174" s="13" t="s">
        <v>228</v>
      </c>
      <c r="G174" s="11"/>
      <c r="H174" s="11"/>
      <c r="I174" s="14">
        <v>0</v>
      </c>
      <c r="J174" s="14">
        <v>0</v>
      </c>
      <c r="K174" s="15" t="str">
        <f t="shared" si="28"/>
        <v>Twitter for Android</v>
      </c>
      <c r="L174" s="14">
        <v>4020</v>
      </c>
      <c r="M174" s="14">
        <v>3987</v>
      </c>
      <c r="N174" s="14">
        <v>15</v>
      </c>
      <c r="O174" s="16"/>
      <c r="P174" s="6">
        <v>42445.671064814815</v>
      </c>
      <c r="Q174" s="11"/>
      <c r="R174" s="18"/>
      <c r="S174" s="11"/>
      <c r="T174" s="11"/>
      <c r="U174" s="10" t="str">
        <f>HYPERLINK("https://pbs.twimg.com/profile_images/710131309369303041/BSZUUUYP.jpg","View")</f>
        <v>View</v>
      </c>
    </row>
    <row r="175" spans="1:21" ht="40.799999999999997">
      <c r="A175" s="6">
        <v>43442.29173611111</v>
      </c>
      <c r="B175" s="7" t="str">
        <f>HYPERLINK("https://twitter.com/Diario_16","@Diario_16")</f>
        <v>@Diario_16</v>
      </c>
      <c r="C175" s="8" t="s">
        <v>916</v>
      </c>
      <c r="D175" s="9" t="s">
        <v>917</v>
      </c>
      <c r="E175" s="10" t="str">
        <f>HYPERLINK("https://twitter.com/Diario_16/status/1071283255985537025","1071283255985537025")</f>
        <v>1071283255985537025</v>
      </c>
      <c r="F175" s="13" t="s">
        <v>245</v>
      </c>
      <c r="G175" s="11"/>
      <c r="H175" s="11"/>
      <c r="I175" s="14">
        <v>4</v>
      </c>
      <c r="J175" s="14">
        <v>5</v>
      </c>
      <c r="K175" s="15" t="str">
        <f>HYPERLINK("http://diario16.com/","D16Autopost")</f>
        <v>D16Autopost</v>
      </c>
      <c r="L175" s="14">
        <v>21050</v>
      </c>
      <c r="M175" s="14">
        <v>1034</v>
      </c>
      <c r="N175" s="14">
        <v>481</v>
      </c>
      <c r="O175" s="16"/>
      <c r="P175" s="6">
        <v>42341.864768518513</v>
      </c>
      <c r="Q175" s="11"/>
      <c r="R175" s="17" t="s">
        <v>919</v>
      </c>
      <c r="S175" s="13" t="s">
        <v>920</v>
      </c>
      <c r="T175" s="11"/>
      <c r="U175" s="10" t="str">
        <f>HYPERLINK("https://pbs.twimg.com/profile_images/900024873275281409/nuXA921H.jpg","View")</f>
        <v>View</v>
      </c>
    </row>
    <row r="176" spans="1:21" ht="40.799999999999997">
      <c r="A176" s="6">
        <v>43442.273333333331</v>
      </c>
      <c r="B176" s="7" t="str">
        <f>HYPERLINK("https://twitter.com/AdeSiracusa","@AdeSiracusa")</f>
        <v>@AdeSiracusa</v>
      </c>
      <c r="C176" s="8" t="s">
        <v>79</v>
      </c>
      <c r="D176" s="9" t="s">
        <v>921</v>
      </c>
      <c r="E176" s="10" t="str">
        <f>HYPERLINK("https://twitter.com/AdeSiracusa/status/1071276586194911232","1071276586194911232")</f>
        <v>1071276586194911232</v>
      </c>
      <c r="F176" s="13" t="s">
        <v>922</v>
      </c>
      <c r="G176" s="11"/>
      <c r="H176" s="11"/>
      <c r="I176" s="14">
        <v>0</v>
      </c>
      <c r="J176" s="14">
        <v>0</v>
      </c>
      <c r="K176" s="15" t="str">
        <f>HYPERLINK("http://www.republicosvenezuela.com/","AdeSiracusa")</f>
        <v>AdeSiracusa</v>
      </c>
      <c r="L176" s="14">
        <v>4091</v>
      </c>
      <c r="M176" s="14">
        <v>4122</v>
      </c>
      <c r="N176" s="14">
        <v>12</v>
      </c>
      <c r="O176" s="16"/>
      <c r="P176" s="6">
        <v>42958.576388888891</v>
      </c>
      <c r="Q176" s="12" t="s">
        <v>87</v>
      </c>
      <c r="R176" s="17" t="s">
        <v>88</v>
      </c>
      <c r="S176" s="11"/>
      <c r="T176" s="11"/>
      <c r="U176" s="10" t="str">
        <f>HYPERLINK("https://pbs.twimg.com/profile_images/895978354591105024/x2wNXrPl.jpg","View")</f>
        <v>View</v>
      </c>
    </row>
    <row r="177" spans="1:21" ht="51">
      <c r="A177" s="6">
        <v>43442.268564814818</v>
      </c>
      <c r="B177" s="7" t="str">
        <f>HYPERLINK("https://twitter.com/EvansSaly","@EvansSaly")</f>
        <v>@EvansSaly</v>
      </c>
      <c r="C177" s="8" t="s">
        <v>623</v>
      </c>
      <c r="D177" s="9" t="s">
        <v>39</v>
      </c>
      <c r="E177" s="10" t="str">
        <f>HYPERLINK("https://twitter.com/EvansSaly/status/1071274861169967105","1071274861169967105")</f>
        <v>1071274861169967105</v>
      </c>
      <c r="F177" s="13" t="s">
        <v>626</v>
      </c>
      <c r="G177" s="11"/>
      <c r="H177" s="11"/>
      <c r="I177" s="14">
        <v>1</v>
      </c>
      <c r="J177" s="14">
        <v>0</v>
      </c>
      <c r="K177" s="15" t="str">
        <f>HYPERLINK("http://twitter.com/download/iphone","Twitter for iPhone")</f>
        <v>Twitter for iPhone</v>
      </c>
      <c r="L177" s="14">
        <v>111</v>
      </c>
      <c r="M177" s="14">
        <v>259</v>
      </c>
      <c r="N177" s="14">
        <v>0</v>
      </c>
      <c r="O177" s="16"/>
      <c r="P177" s="6">
        <v>42965.259351851855</v>
      </c>
      <c r="Q177" s="11"/>
      <c r="R177" s="18"/>
      <c r="S177" s="11"/>
      <c r="T177" s="11"/>
      <c r="U177" s="19" t="s">
        <v>629</v>
      </c>
    </row>
    <row r="178" spans="1:21" ht="30.6">
      <c r="A178" s="6">
        <v>43442.206782407404</v>
      </c>
      <c r="B178" s="7" t="str">
        <f>HYPERLINK("https://twitter.com/_Loire_","@_Loire_")</f>
        <v>@_Loire_</v>
      </c>
      <c r="C178" s="8" t="s">
        <v>630</v>
      </c>
      <c r="D178" s="9" t="s">
        <v>631</v>
      </c>
      <c r="E178" s="10" t="str">
        <f>HYPERLINK("https://twitter.com/_Loire_/status/1071252471543160832","1071252471543160832")</f>
        <v>1071252471543160832</v>
      </c>
      <c r="F178" s="11"/>
      <c r="G178" s="11"/>
      <c r="H178" s="11"/>
      <c r="I178" s="14">
        <v>0</v>
      </c>
      <c r="J178" s="14">
        <v>0</v>
      </c>
      <c r="K178" s="15" t="str">
        <f>HYPERLINK("http://twitter.com","Twitter Web Client")</f>
        <v>Twitter Web Client</v>
      </c>
      <c r="L178" s="14">
        <v>225</v>
      </c>
      <c r="M178" s="14">
        <v>1123</v>
      </c>
      <c r="N178" s="14">
        <v>5</v>
      </c>
      <c r="O178" s="16"/>
      <c r="P178" s="6">
        <v>40818.85292824074</v>
      </c>
      <c r="Q178" s="12" t="s">
        <v>632</v>
      </c>
      <c r="R178" s="17" t="s">
        <v>633</v>
      </c>
      <c r="S178" s="13" t="s">
        <v>634</v>
      </c>
      <c r="T178" s="11"/>
      <c r="U178" s="10" t="str">
        <f>HYPERLINK("https://pbs.twimg.com/profile_images/1060584837210365952/VNwrbI6T.jpg","View")</f>
        <v>View</v>
      </c>
    </row>
    <row r="179" spans="1:21" ht="51">
      <c r="A179" s="6">
        <v>43442.168668981481</v>
      </c>
      <c r="B179" s="7" t="str">
        <f>HYPERLINK("https://twitter.com/pcaparros","@pcaparros")</f>
        <v>@pcaparros</v>
      </c>
      <c r="C179" s="8" t="s">
        <v>637</v>
      </c>
      <c r="D179" s="9" t="s">
        <v>638</v>
      </c>
      <c r="E179" s="10" t="str">
        <f>HYPERLINK("https://twitter.com/pcaparros/status/1071238656881508352","1071238656881508352")</f>
        <v>1071238656881508352</v>
      </c>
      <c r="F179" s="11"/>
      <c r="G179" s="11"/>
      <c r="H179" s="11"/>
      <c r="I179" s="14">
        <v>0</v>
      </c>
      <c r="J179" s="14">
        <v>0</v>
      </c>
      <c r="K179" s="15" t="str">
        <f>HYPERLINK("http://twitter.com/#!/download/ipad","Twitter for iPad")</f>
        <v>Twitter for iPad</v>
      </c>
      <c r="L179" s="14">
        <v>432</v>
      </c>
      <c r="M179" s="14">
        <v>1258</v>
      </c>
      <c r="N179" s="14">
        <v>2</v>
      </c>
      <c r="O179" s="16"/>
      <c r="P179" s="6">
        <v>40232.749166666668</v>
      </c>
      <c r="Q179" s="11"/>
      <c r="R179" s="17" t="s">
        <v>640</v>
      </c>
      <c r="S179" s="11"/>
      <c r="T179" s="11"/>
      <c r="U179" s="10" t="str">
        <f>HYPERLINK("https://pbs.twimg.com/profile_images/1070111312741613570/pRnwsVK-.jpg","View")</f>
        <v>View</v>
      </c>
    </row>
    <row r="180" spans="1:21" ht="40.799999999999997">
      <c r="A180" s="6">
        <v>43442.147962962961</v>
      </c>
      <c r="B180" s="7" t="str">
        <f>HYPERLINK("https://twitter.com/ContactoHoy","@ContactoHoy")</f>
        <v>@ContactoHoy</v>
      </c>
      <c r="C180" s="8" t="s">
        <v>934</v>
      </c>
      <c r="D180" s="9" t="s">
        <v>935</v>
      </c>
      <c r="E180" s="10" t="str">
        <f>HYPERLINK("https://twitter.com/ContactoHoy/status/1071231154412351488","1071231154412351488")</f>
        <v>1071231154412351488</v>
      </c>
      <c r="F180" s="13" t="s">
        <v>936</v>
      </c>
      <c r="G180" s="11"/>
      <c r="H180" s="11"/>
      <c r="I180" s="14">
        <v>0</v>
      </c>
      <c r="J180" s="14">
        <v>0</v>
      </c>
      <c r="K180" s="15" t="str">
        <f>HYPERLINK("http://twitter.com/download/android","Twitter for Android")</f>
        <v>Twitter for Android</v>
      </c>
      <c r="L180" s="14">
        <v>17765</v>
      </c>
      <c r="M180" s="14">
        <v>197</v>
      </c>
      <c r="N180" s="14">
        <v>149</v>
      </c>
      <c r="O180" s="16"/>
      <c r="P180" s="6">
        <v>40043.747453703705</v>
      </c>
      <c r="Q180" s="12" t="s">
        <v>939</v>
      </c>
      <c r="R180" s="17" t="s">
        <v>940</v>
      </c>
      <c r="S180" s="13" t="s">
        <v>941</v>
      </c>
      <c r="T180" s="11"/>
      <c r="U180" s="10" t="str">
        <f>HYPERLINK("https://pbs.twimg.com/profile_images/1065663182016995328/Js-MzCo3.jpg","View")</f>
        <v>View</v>
      </c>
    </row>
    <row r="181" spans="1:21" ht="40.799999999999997">
      <c r="A181" s="6">
        <v>43442.119143518517</v>
      </c>
      <c r="B181" s="7" t="str">
        <f>HYPERLINK("https://twitter.com/MaJoseValiente","@MaJoseValiente")</f>
        <v>@MaJoseValiente</v>
      </c>
      <c r="C181" s="8" t="s">
        <v>942</v>
      </c>
      <c r="D181" s="9" t="s">
        <v>943</v>
      </c>
      <c r="E181" s="10" t="str">
        <f>HYPERLINK("https://twitter.com/MaJoseValiente/status/1071220711384064000","1071220711384064000")</f>
        <v>1071220711384064000</v>
      </c>
      <c r="F181" s="13" t="s">
        <v>945</v>
      </c>
      <c r="G181" s="11"/>
      <c r="H181" s="11"/>
      <c r="I181" s="14">
        <v>0</v>
      </c>
      <c r="J181" s="14">
        <v>0</v>
      </c>
      <c r="K181" s="15" t="str">
        <f>HYPERLINK("http://www.facebook.com/twitter","Facebook")</f>
        <v>Facebook</v>
      </c>
      <c r="L181" s="14">
        <v>653</v>
      </c>
      <c r="M181" s="14">
        <v>1788</v>
      </c>
      <c r="N181" s="14">
        <v>7</v>
      </c>
      <c r="O181" s="16"/>
      <c r="P181" s="6">
        <v>40679.240601851852</v>
      </c>
      <c r="Q181" s="12" t="s">
        <v>29</v>
      </c>
      <c r="R181" s="17" t="s">
        <v>947</v>
      </c>
      <c r="S181" s="13" t="s">
        <v>949</v>
      </c>
      <c r="T181" s="11"/>
      <c r="U181" s="10" t="str">
        <f>HYPERLINK("https://pbs.twimg.com/profile_images/2171198668/No_temas_a_los_gigantes.jpg","View")</f>
        <v>View</v>
      </c>
    </row>
    <row r="182" spans="1:21" ht="40.799999999999997">
      <c r="A182" s="6">
        <v>43442.110046296293</v>
      </c>
      <c r="B182" s="7" t="str">
        <f>HYPERLINK("https://twitter.com/VazqueSuarez","@VazqueSuarez")</f>
        <v>@VazqueSuarez</v>
      </c>
      <c r="C182" s="8" t="s">
        <v>646</v>
      </c>
      <c r="D182" s="9" t="s">
        <v>647</v>
      </c>
      <c r="E182" s="10" t="str">
        <f>HYPERLINK("https://twitter.com/VazqueSuarez/status/1071217413700665350","1071217413700665350")</f>
        <v>1071217413700665350</v>
      </c>
      <c r="F182" s="11"/>
      <c r="G182" s="13" t="s">
        <v>649</v>
      </c>
      <c r="H182" s="11"/>
      <c r="I182" s="14">
        <v>13</v>
      </c>
      <c r="J182" s="14">
        <v>30</v>
      </c>
      <c r="K182" s="15" t="str">
        <f>HYPERLINK("http://twitter.com/download/android","Twitter for Android")</f>
        <v>Twitter for Android</v>
      </c>
      <c r="L182" s="14">
        <v>145</v>
      </c>
      <c r="M182" s="14">
        <v>213</v>
      </c>
      <c r="N182" s="14">
        <v>0</v>
      </c>
      <c r="O182" s="16"/>
      <c r="P182" s="6">
        <v>42295.858773148153</v>
      </c>
      <c r="Q182" s="12" t="s">
        <v>650</v>
      </c>
      <c r="R182" s="17" t="s">
        <v>651</v>
      </c>
      <c r="S182" s="11"/>
      <c r="T182" s="11"/>
      <c r="U182" s="10" t="str">
        <f>HYPERLINK("https://pbs.twimg.com/profile_images/1039468986164043776/pxzjZJS-.jpg","View")</f>
        <v>View</v>
      </c>
    </row>
    <row r="183" spans="1:21" ht="40.799999999999997">
      <c r="A183" s="6">
        <v>43442.109571759254</v>
      </c>
      <c r="B183" s="7" t="str">
        <f>HYPERLINK("https://twitter.com/PdeSamos","@PdeSamos")</f>
        <v>@PdeSamos</v>
      </c>
      <c r="C183" s="8" t="s">
        <v>794</v>
      </c>
      <c r="D183" s="9" t="s">
        <v>955</v>
      </c>
      <c r="E183" s="10" t="str">
        <f>HYPERLINK("https://twitter.com/PdeSamos/status/1071217244108136449","1071217244108136449")</f>
        <v>1071217244108136449</v>
      </c>
      <c r="F183" s="13" t="s">
        <v>956</v>
      </c>
      <c r="G183" s="11"/>
      <c r="H183" s="11"/>
      <c r="I183" s="14">
        <v>0</v>
      </c>
      <c r="J183" s="14">
        <v>0</v>
      </c>
      <c r="K183" s="15" t="str">
        <f>HYPERLINK("http://republico.ddns.net","App Libertad PdeSamos")</f>
        <v>App Libertad PdeSamos</v>
      </c>
      <c r="L183" s="14">
        <v>5398</v>
      </c>
      <c r="M183" s="14">
        <v>5441</v>
      </c>
      <c r="N183" s="14">
        <v>12</v>
      </c>
      <c r="O183" s="16"/>
      <c r="P183" s="6">
        <v>42889.820567129631</v>
      </c>
      <c r="Q183" s="12" t="s">
        <v>800</v>
      </c>
      <c r="R183" s="17" t="s">
        <v>801</v>
      </c>
      <c r="S183" s="11"/>
      <c r="T183" s="11"/>
      <c r="U183" s="10" t="str">
        <f>HYPERLINK("https://pbs.twimg.com/profile_images/871063742003511296/xK2IYbrO.jpg","View")</f>
        <v>View</v>
      </c>
    </row>
    <row r="184" spans="1:21" ht="51">
      <c r="A184" s="6">
        <v>43442.070011574076</v>
      </c>
      <c r="B184" s="7" t="str">
        <f>HYPERLINK("https://twitter.com/naparmendariz","@naparmendariz")</f>
        <v>@naparmendariz</v>
      </c>
      <c r="C184" s="8" t="s">
        <v>655</v>
      </c>
      <c r="D184" s="9" t="s">
        <v>39</v>
      </c>
      <c r="E184" s="10" t="str">
        <f>HYPERLINK("https://twitter.com/naparmendariz/status/1071202906869809153","1071202906869809153")</f>
        <v>1071202906869809153</v>
      </c>
      <c r="F184" s="13" t="s">
        <v>656</v>
      </c>
      <c r="G184" s="11"/>
      <c r="H184" s="11"/>
      <c r="I184" s="14">
        <v>0</v>
      </c>
      <c r="J184" s="14">
        <v>1</v>
      </c>
      <c r="K184" s="15" t="str">
        <f t="shared" ref="K184:K185" si="29">HYPERLINK("http://twitter.com","Twitter Web Client")</f>
        <v>Twitter Web Client</v>
      </c>
      <c r="L184" s="14">
        <v>617</v>
      </c>
      <c r="M184" s="14">
        <v>552</v>
      </c>
      <c r="N184" s="14">
        <v>0</v>
      </c>
      <c r="O184" s="16"/>
      <c r="P184" s="6">
        <v>41877.598240740743</v>
      </c>
      <c r="Q184" s="12" t="s">
        <v>657</v>
      </c>
      <c r="R184" s="18"/>
      <c r="S184" s="11"/>
      <c r="T184" s="11"/>
      <c r="U184" s="10" t="str">
        <f>HYPERLINK("https://pbs.twimg.com/profile_images/1028838831632605184/F4GsaENy.jpg","View")</f>
        <v>View</v>
      </c>
    </row>
    <row r="185" spans="1:21" ht="13.2">
      <c r="A185" s="6">
        <v>43442.064120370371</v>
      </c>
      <c r="B185" s="7" t="str">
        <f>HYPERLINK("https://twitter.com/entierradigna","@entierradigna")</f>
        <v>@entierradigna</v>
      </c>
      <c r="C185" s="8" t="s">
        <v>964</v>
      </c>
      <c r="D185" s="9" t="s">
        <v>965</v>
      </c>
      <c r="E185" s="10" t="str">
        <f>HYPERLINK("https://twitter.com/entierradigna/status/1071200769716695041","1071200769716695041")</f>
        <v>1071200769716695041</v>
      </c>
      <c r="F185" s="11"/>
      <c r="G185" s="11"/>
      <c r="H185" s="11"/>
      <c r="I185" s="14">
        <v>0</v>
      </c>
      <c r="J185" s="14">
        <v>0</v>
      </c>
      <c r="K185" s="15" t="str">
        <f t="shared" si="29"/>
        <v>Twitter Web Client</v>
      </c>
      <c r="L185" s="14">
        <v>2157</v>
      </c>
      <c r="M185" s="14">
        <v>379</v>
      </c>
      <c r="N185" s="14">
        <v>20</v>
      </c>
      <c r="O185" s="16"/>
      <c r="P185" s="6">
        <v>42076.907060185185</v>
      </c>
      <c r="Q185" s="11"/>
      <c r="R185" s="17" t="s">
        <v>967</v>
      </c>
      <c r="S185" s="11"/>
      <c r="T185" s="11"/>
      <c r="U185" s="10" t="str">
        <f>HYPERLINK("https://pbs.twimg.com/profile_images/1066796656648163331/gXGc48jg.jpg","View")</f>
        <v>View</v>
      </c>
    </row>
    <row r="186" spans="1:21" ht="71.400000000000006">
      <c r="A186" s="6">
        <v>43442.061689814815</v>
      </c>
      <c r="B186" s="7" t="str">
        <f>HYPERLINK("https://twitter.com/jeanluc2330","@jeanluc2330")</f>
        <v>@jeanluc2330</v>
      </c>
      <c r="C186" s="8" t="s">
        <v>971</v>
      </c>
      <c r="D186" s="9" t="s">
        <v>972</v>
      </c>
      <c r="E186" s="10" t="str">
        <f>HYPERLINK("https://twitter.com/jeanluc2330/status/1071199890850672640","1071199890850672640")</f>
        <v>1071199890850672640</v>
      </c>
      <c r="F186" s="13" t="s">
        <v>973</v>
      </c>
      <c r="G186" s="11"/>
      <c r="H186" s="11"/>
      <c r="I186" s="14">
        <v>0</v>
      </c>
      <c r="J186" s="14">
        <v>0</v>
      </c>
      <c r="K186" s="15" t="str">
        <f t="shared" ref="K186:K193" si="30">HYPERLINK("http://twitter.com/download/android","Twitter for Android")</f>
        <v>Twitter for Android</v>
      </c>
      <c r="L186" s="14">
        <v>87</v>
      </c>
      <c r="M186" s="14">
        <v>122</v>
      </c>
      <c r="N186" s="14">
        <v>2</v>
      </c>
      <c r="O186" s="16"/>
      <c r="P186" s="6">
        <v>41952.878125000003</v>
      </c>
      <c r="Q186" s="12" t="s">
        <v>974</v>
      </c>
      <c r="R186" s="17" t="s">
        <v>975</v>
      </c>
      <c r="S186" s="11"/>
      <c r="T186" s="11"/>
      <c r="U186" s="10" t="str">
        <f>HYPERLINK("https://pbs.twimg.com/profile_images/1071124037236154369/filexExM.jpg","View")</f>
        <v>View</v>
      </c>
    </row>
    <row r="187" spans="1:21" ht="51">
      <c r="A187" s="6">
        <v>43442.059641203705</v>
      </c>
      <c r="B187" s="7" t="str">
        <f>HYPERLINK("https://twitter.com/Alc_rey","@Alc_rey")</f>
        <v>@Alc_rey</v>
      </c>
      <c r="C187" s="8" t="s">
        <v>668</v>
      </c>
      <c r="D187" s="9" t="s">
        <v>39</v>
      </c>
      <c r="E187" s="10" t="str">
        <f>HYPERLINK("https://twitter.com/Alc_rey/status/1071199148165267458","1071199148165267458")</f>
        <v>1071199148165267458</v>
      </c>
      <c r="F187" s="13" t="s">
        <v>669</v>
      </c>
      <c r="G187" s="11"/>
      <c r="H187" s="11"/>
      <c r="I187" s="14">
        <v>1</v>
      </c>
      <c r="J187" s="14">
        <v>0</v>
      </c>
      <c r="K187" s="15" t="str">
        <f t="shared" si="30"/>
        <v>Twitter for Android</v>
      </c>
      <c r="L187" s="14">
        <v>57</v>
      </c>
      <c r="M187" s="14">
        <v>74</v>
      </c>
      <c r="N187" s="14">
        <v>1</v>
      </c>
      <c r="O187" s="16"/>
      <c r="P187" s="6">
        <v>41082.786585648151</v>
      </c>
      <c r="Q187" s="12" t="s">
        <v>29</v>
      </c>
      <c r="R187" s="18"/>
      <c r="S187" s="11"/>
      <c r="T187" s="11"/>
      <c r="U187" s="19" t="s">
        <v>629</v>
      </c>
    </row>
    <row r="188" spans="1:21" ht="30.6">
      <c r="A188" s="6">
        <v>43442.05846064815</v>
      </c>
      <c r="B188" s="7" t="str">
        <f>HYPERLINK("https://twitter.com/AstoChp","@AstoChp")</f>
        <v>@AstoChp</v>
      </c>
      <c r="C188" s="8" t="s">
        <v>980</v>
      </c>
      <c r="D188" s="9" t="s">
        <v>981</v>
      </c>
      <c r="E188" s="10" t="str">
        <f>HYPERLINK("https://twitter.com/AstoChp/status/1071198718475595777","1071198718475595777")</f>
        <v>1071198718475595777</v>
      </c>
      <c r="F188" s="13" t="s">
        <v>982</v>
      </c>
      <c r="G188" s="11"/>
      <c r="H188" s="11"/>
      <c r="I188" s="14">
        <v>0</v>
      </c>
      <c r="J188" s="14">
        <v>0</v>
      </c>
      <c r="K188" s="15" t="str">
        <f t="shared" si="30"/>
        <v>Twitter for Android</v>
      </c>
      <c r="L188" s="14">
        <v>53</v>
      </c>
      <c r="M188" s="14">
        <v>190</v>
      </c>
      <c r="N188" s="14">
        <v>0</v>
      </c>
      <c r="O188" s="16"/>
      <c r="P188" s="6">
        <v>41467.592430555553</v>
      </c>
      <c r="Q188" s="11"/>
      <c r="R188" s="18"/>
      <c r="S188" s="11"/>
      <c r="T188" s="11"/>
      <c r="U188" s="10" t="str">
        <f>HYPERLINK("https://pbs.twimg.com/profile_images/1046496468360712192/J-9T35K2.jpg","View")</f>
        <v>View</v>
      </c>
    </row>
    <row r="189" spans="1:21" ht="20.399999999999999">
      <c r="A189" s="6">
        <v>43442.057210648149</v>
      </c>
      <c r="B189" s="7" t="str">
        <f>HYPERLINK("https://twitter.com/MaraPilarFernn3","@MaraPilarFernn3")</f>
        <v>@MaraPilarFernn3</v>
      </c>
      <c r="C189" s="8" t="s">
        <v>985</v>
      </c>
      <c r="D189" s="9" t="s">
        <v>986</v>
      </c>
      <c r="E189" s="10" t="str">
        <f>HYPERLINK("https://twitter.com/MaraPilarFernn3/status/1071198266329571329","1071198266329571329")</f>
        <v>1071198266329571329</v>
      </c>
      <c r="F189" s="13" t="s">
        <v>987</v>
      </c>
      <c r="G189" s="11"/>
      <c r="H189" s="11"/>
      <c r="I189" s="14">
        <v>4</v>
      </c>
      <c r="J189" s="14">
        <v>3</v>
      </c>
      <c r="K189" s="15" t="str">
        <f t="shared" si="30"/>
        <v>Twitter for Android</v>
      </c>
      <c r="L189" s="14">
        <v>3497</v>
      </c>
      <c r="M189" s="14">
        <v>4263</v>
      </c>
      <c r="N189" s="14">
        <v>6</v>
      </c>
      <c r="O189" s="16"/>
      <c r="P189" s="6">
        <v>43144.741076388891</v>
      </c>
      <c r="Q189" s="11"/>
      <c r="R189" s="17" t="s">
        <v>988</v>
      </c>
      <c r="S189" s="11"/>
      <c r="T189" s="11"/>
      <c r="U189" s="10" t="str">
        <f>HYPERLINK("https://pbs.twimg.com/profile_images/963937402619334657/H1OsvoHZ.jpg","View")</f>
        <v>View</v>
      </c>
    </row>
    <row r="190" spans="1:21" ht="91.8">
      <c r="A190" s="6">
        <v>43442.051932870367</v>
      </c>
      <c r="B190" s="7" t="str">
        <f>HYPERLINK("https://twitter.com/jessikacardozo","@jessikacardozo")</f>
        <v>@jessikacardozo</v>
      </c>
      <c r="C190" s="8" t="s">
        <v>672</v>
      </c>
      <c r="D190" s="9" t="s">
        <v>673</v>
      </c>
      <c r="E190" s="10" t="str">
        <f>HYPERLINK("https://twitter.com/jessikacardozo/status/1071196356528750592","1071196356528750592")</f>
        <v>1071196356528750592</v>
      </c>
      <c r="F190" s="13" t="s">
        <v>675</v>
      </c>
      <c r="G190" s="13" t="s">
        <v>676</v>
      </c>
      <c r="H190" s="11"/>
      <c r="I190" s="14">
        <v>0</v>
      </c>
      <c r="J190" s="14">
        <v>0</v>
      </c>
      <c r="K190" s="15" t="str">
        <f t="shared" si="30"/>
        <v>Twitter for Android</v>
      </c>
      <c r="L190" s="14">
        <v>2440</v>
      </c>
      <c r="M190" s="14">
        <v>914</v>
      </c>
      <c r="N190" s="14">
        <v>7</v>
      </c>
      <c r="O190" s="16"/>
      <c r="P190" s="6">
        <v>40416.260011574072</v>
      </c>
      <c r="Q190" s="12" t="s">
        <v>678</v>
      </c>
      <c r="R190" s="17" t="s">
        <v>679</v>
      </c>
      <c r="S190" s="11"/>
      <c r="T190" s="11"/>
      <c r="U190" s="10" t="str">
        <f>HYPERLINK("https://pbs.twimg.com/profile_images/1111014252/Jessika.jpg","View")</f>
        <v>View</v>
      </c>
    </row>
    <row r="191" spans="1:21" ht="40.799999999999997">
      <c r="A191" s="6">
        <v>43442.048113425924</v>
      </c>
      <c r="B191" s="7" t="str">
        <f>HYPERLINK("https://twitter.com/Isma14Gonzalez","@Isma14Gonzalez")</f>
        <v>@Isma14Gonzalez</v>
      </c>
      <c r="C191" s="8" t="s">
        <v>993</v>
      </c>
      <c r="D191" s="9" t="s">
        <v>994</v>
      </c>
      <c r="E191" s="10" t="str">
        <f>HYPERLINK("https://twitter.com/Isma14Gonzalez/status/1071194968893595648","1071194968893595648")</f>
        <v>1071194968893595648</v>
      </c>
      <c r="F191" s="12" t="s">
        <v>995</v>
      </c>
      <c r="G191" s="11"/>
      <c r="H191" s="11"/>
      <c r="I191" s="14">
        <v>0</v>
      </c>
      <c r="J191" s="14">
        <v>0</v>
      </c>
      <c r="K191" s="15" t="str">
        <f t="shared" si="30"/>
        <v>Twitter for Android</v>
      </c>
      <c r="L191" s="14">
        <v>242</v>
      </c>
      <c r="M191" s="14">
        <v>837</v>
      </c>
      <c r="N191" s="14">
        <v>1</v>
      </c>
      <c r="O191" s="16"/>
      <c r="P191" s="6">
        <v>42513.973402777774</v>
      </c>
      <c r="Q191" s="11"/>
      <c r="R191" s="17" t="s">
        <v>998</v>
      </c>
      <c r="S191" s="11"/>
      <c r="T191" s="11"/>
      <c r="U191" s="10" t="str">
        <f>HYPERLINK("https://pbs.twimg.com/profile_images/734866264846389248/e6OTK-d2.jpg","View")</f>
        <v>View</v>
      </c>
    </row>
    <row r="192" spans="1:21" ht="40.799999999999997">
      <c r="A192" s="6">
        <v>43442.042395833334</v>
      </c>
      <c r="B192" s="7" t="str">
        <f>HYPERLINK("https://twitter.com/jasalo54","@jasalo54")</f>
        <v>@jasalo54</v>
      </c>
      <c r="C192" s="8" t="s">
        <v>682</v>
      </c>
      <c r="D192" s="9" t="s">
        <v>683</v>
      </c>
      <c r="E192" s="10" t="str">
        <f>HYPERLINK("https://twitter.com/jasalo54/status/1071192900426481665","1071192900426481665")</f>
        <v>1071192900426481665</v>
      </c>
      <c r="F192" s="11"/>
      <c r="G192" s="13" t="s">
        <v>686</v>
      </c>
      <c r="H192" s="11"/>
      <c r="I192" s="14">
        <v>0</v>
      </c>
      <c r="J192" s="14">
        <v>0</v>
      </c>
      <c r="K192" s="15" t="str">
        <f t="shared" si="30"/>
        <v>Twitter for Android</v>
      </c>
      <c r="L192" s="14">
        <v>363</v>
      </c>
      <c r="M192" s="14">
        <v>1793</v>
      </c>
      <c r="N192" s="14">
        <v>6</v>
      </c>
      <c r="O192" s="16"/>
      <c r="P192" s="6">
        <v>42004.016145833331</v>
      </c>
      <c r="Q192" s="12" t="s">
        <v>687</v>
      </c>
      <c r="R192" s="17" t="s">
        <v>688</v>
      </c>
      <c r="S192" s="11"/>
      <c r="T192" s="11"/>
      <c r="U192" s="10" t="str">
        <f>HYPERLINK("https://pbs.twimg.com/profile_images/852286523483582464/Tj1M7Lqo.jpg","View")</f>
        <v>View</v>
      </c>
    </row>
    <row r="193" spans="1:21" ht="40.799999999999997">
      <c r="A193" s="6">
        <v>43442.030173611114</v>
      </c>
      <c r="B193" s="7" t="str">
        <f>HYPERLINK("https://twitter.com/AlessandriniMH","@AlessandriniMH")</f>
        <v>@AlessandriniMH</v>
      </c>
      <c r="C193" s="8" t="s">
        <v>693</v>
      </c>
      <c r="D193" s="9" t="s">
        <v>694</v>
      </c>
      <c r="E193" s="10" t="str">
        <f>HYPERLINK("https://twitter.com/AlessandriniMH/status/1071188469534334977","1071188469534334977")</f>
        <v>1071188469534334977</v>
      </c>
      <c r="F193" s="13" t="s">
        <v>535</v>
      </c>
      <c r="G193" s="11"/>
      <c r="H193" s="11"/>
      <c r="I193" s="14">
        <v>0</v>
      </c>
      <c r="J193" s="14">
        <v>0</v>
      </c>
      <c r="K193" s="15" t="str">
        <f t="shared" si="30"/>
        <v>Twitter for Android</v>
      </c>
      <c r="L193" s="14">
        <v>2191</v>
      </c>
      <c r="M193" s="14">
        <v>1868</v>
      </c>
      <c r="N193" s="14">
        <v>23</v>
      </c>
      <c r="O193" s="16"/>
      <c r="P193" s="6">
        <v>41387.347418981481</v>
      </c>
      <c r="Q193" s="12" t="s">
        <v>698</v>
      </c>
      <c r="R193" s="17" t="s">
        <v>699</v>
      </c>
      <c r="S193" s="11"/>
      <c r="T193" s="11"/>
      <c r="U193" s="10" t="str">
        <f>HYPERLINK("https://pbs.twimg.com/profile_images/1030532928118448129/OGosCiNE.jpg","View")</f>
        <v>View</v>
      </c>
    </row>
    <row r="194" spans="1:21" ht="30.6">
      <c r="A194" s="6">
        <v>43442.024826388893</v>
      </c>
      <c r="B194" s="7" t="str">
        <f>HYPERLINK("https://twitter.com/Vespertina1","@Vespertina1")</f>
        <v>@Vespertina1</v>
      </c>
      <c r="C194" s="8" t="s">
        <v>1008</v>
      </c>
      <c r="D194" s="9" t="s">
        <v>418</v>
      </c>
      <c r="E194" s="10" t="str">
        <f>HYPERLINK("https://twitter.com/Vespertina1/status/1071186531048665088","1071186531048665088")</f>
        <v>1071186531048665088</v>
      </c>
      <c r="F194" s="13" t="s">
        <v>228</v>
      </c>
      <c r="G194" s="11"/>
      <c r="H194" s="11"/>
      <c r="I194" s="14">
        <v>1</v>
      </c>
      <c r="J194" s="14">
        <v>0</v>
      </c>
      <c r="K194" s="15" t="str">
        <f>HYPERLINK("http://twitter.com","Twitter Web Client")</f>
        <v>Twitter Web Client</v>
      </c>
      <c r="L194" s="14">
        <v>4104</v>
      </c>
      <c r="M194" s="14">
        <v>3400</v>
      </c>
      <c r="N194" s="14">
        <v>50</v>
      </c>
      <c r="O194" s="16"/>
      <c r="P194" s="6">
        <v>40970.787766203706</v>
      </c>
      <c r="Q194" s="12" t="s">
        <v>29</v>
      </c>
      <c r="R194" s="17" t="s">
        <v>1011</v>
      </c>
      <c r="S194" s="11"/>
      <c r="T194" s="11"/>
      <c r="U194" s="10" t="str">
        <f>HYPERLINK("https://pbs.twimg.com/profile_images/942757067290566657/aGMtO_C0.jpg","View")</f>
        <v>View</v>
      </c>
    </row>
    <row r="195" spans="1:21" ht="30.6">
      <c r="A195" s="6">
        <v>43442.022222222222</v>
      </c>
      <c r="B195" s="7" t="str">
        <f>HYPERLINK("https://twitter.com/ElHuffPost","@ElHuffPost")</f>
        <v>@ElHuffPost</v>
      </c>
      <c r="C195" s="8" t="s">
        <v>114</v>
      </c>
      <c r="D195" s="9" t="s">
        <v>115</v>
      </c>
      <c r="E195" s="10" t="str">
        <f>HYPERLINK("https://twitter.com/ElHuffPost/status/1071185587502235659","1071185587502235659")</f>
        <v>1071185587502235659</v>
      </c>
      <c r="F195" s="13" t="s">
        <v>116</v>
      </c>
      <c r="G195" s="11"/>
      <c r="H195" s="11"/>
      <c r="I195" s="14">
        <v>2</v>
      </c>
      <c r="J195" s="14">
        <v>1</v>
      </c>
      <c r="K195" s="15" t="str">
        <f>HYPERLINK("https://about.twitter.com/products/tweetdeck","TweetDeck")</f>
        <v>TweetDeck</v>
      </c>
      <c r="L195" s="14">
        <v>431182</v>
      </c>
      <c r="M195" s="14">
        <v>1551</v>
      </c>
      <c r="N195" s="14">
        <v>8205</v>
      </c>
      <c r="O195" s="19" t="s">
        <v>42</v>
      </c>
      <c r="P195" s="6">
        <v>40785.027118055557</v>
      </c>
      <c r="Q195" s="12" t="s">
        <v>119</v>
      </c>
      <c r="R195" s="17" t="s">
        <v>120</v>
      </c>
      <c r="S195" s="13" t="s">
        <v>121</v>
      </c>
      <c r="T195" s="11"/>
      <c r="U195" s="10" t="str">
        <f>HYPERLINK("https://pbs.twimg.com/profile_images/921140803422089217/ETOEUOAx.jpg","View")</f>
        <v>View</v>
      </c>
    </row>
    <row r="196" spans="1:21" ht="30.6">
      <c r="A196" s="6">
        <v>43442.015370370369</v>
      </c>
      <c r="B196" s="7" t="str">
        <f>HYPERLINK("https://twitter.com/Narx221","@Narx221")</f>
        <v>@Narx221</v>
      </c>
      <c r="C196" s="8" t="s">
        <v>1017</v>
      </c>
      <c r="D196" s="9" t="s">
        <v>1018</v>
      </c>
      <c r="E196" s="10" t="str">
        <f>HYPERLINK("https://twitter.com/Narx221/status/1071183105694797825","1071183105694797825")</f>
        <v>1071183105694797825</v>
      </c>
      <c r="F196" s="11"/>
      <c r="G196" s="13" t="s">
        <v>1019</v>
      </c>
      <c r="H196" s="11"/>
      <c r="I196" s="14">
        <v>0</v>
      </c>
      <c r="J196" s="14">
        <v>2</v>
      </c>
      <c r="K196" s="15" t="str">
        <f>HYPERLINK("http://twitter.com","Twitter Web Client")</f>
        <v>Twitter Web Client</v>
      </c>
      <c r="L196" s="14">
        <v>258</v>
      </c>
      <c r="M196" s="14">
        <v>32</v>
      </c>
      <c r="N196" s="14">
        <v>5</v>
      </c>
      <c r="O196" s="16"/>
      <c r="P196" s="6">
        <v>41468.004131944443</v>
      </c>
      <c r="Q196" s="12" t="s">
        <v>1022</v>
      </c>
      <c r="R196" s="17" t="s">
        <v>1023</v>
      </c>
      <c r="S196" s="13" t="s">
        <v>1024</v>
      </c>
      <c r="T196" s="11"/>
      <c r="U196" s="10" t="str">
        <f>HYPERLINK("https://pbs.twimg.com/profile_images/1063408184709324801/c0rL_jmK.jpg","View")</f>
        <v>View</v>
      </c>
    </row>
    <row r="197" spans="1:21" ht="51">
      <c r="A197" s="6">
        <v>43442.010347222225</v>
      </c>
      <c r="B197" s="7" t="str">
        <f>HYPERLINK("https://twitter.com/tonitj3","@tonitj3")</f>
        <v>@tonitj3</v>
      </c>
      <c r="C197" s="8" t="s">
        <v>701</v>
      </c>
      <c r="D197" s="9" t="s">
        <v>702</v>
      </c>
      <c r="E197" s="10" t="str">
        <f>HYPERLINK("https://twitter.com/tonitj3/status/1071181286679724032","1071181286679724032")</f>
        <v>1071181286679724032</v>
      </c>
      <c r="F197" s="11"/>
      <c r="G197" s="13" t="s">
        <v>703</v>
      </c>
      <c r="H197" s="11"/>
      <c r="I197" s="14">
        <v>0</v>
      </c>
      <c r="J197" s="14">
        <v>2</v>
      </c>
      <c r="K197" s="15" t="str">
        <f>HYPERLINK("http://twitter.com/download/android","Twitter for Android")</f>
        <v>Twitter for Android</v>
      </c>
      <c r="L197" s="14">
        <v>8222</v>
      </c>
      <c r="M197" s="14">
        <v>6977</v>
      </c>
      <c r="N197" s="14">
        <v>39</v>
      </c>
      <c r="O197" s="16"/>
      <c r="P197" s="6">
        <v>41836.145266203705</v>
      </c>
      <c r="Q197" s="12" t="s">
        <v>704</v>
      </c>
      <c r="R197" s="17" t="s">
        <v>705</v>
      </c>
      <c r="S197" s="13" t="s">
        <v>706</v>
      </c>
      <c r="T197" s="11"/>
      <c r="U197" s="10" t="str">
        <f>HYPERLINK("https://pbs.twimg.com/profile_images/1070654036418932738/z_9Hosnl.jpg","View")</f>
        <v>View</v>
      </c>
    </row>
    <row r="198" spans="1:21" ht="51">
      <c r="A198" s="6">
        <v>43441.985520833332</v>
      </c>
      <c r="B198" s="7" t="str">
        <f>HYPERLINK("https://twitter.com/sanchezrubiomo","@sanchezrubiomo")</f>
        <v>@sanchezrubiomo</v>
      </c>
      <c r="C198" s="8" t="s">
        <v>711</v>
      </c>
      <c r="D198" s="9" t="s">
        <v>712</v>
      </c>
      <c r="E198" s="10" t="str">
        <f>HYPERLINK("https://twitter.com/sanchezrubiomo/status/1071172287955644421","1071172287955644421")</f>
        <v>1071172287955644421</v>
      </c>
      <c r="F198" s="13" t="s">
        <v>713</v>
      </c>
      <c r="G198" s="11"/>
      <c r="H198" s="11"/>
      <c r="I198" s="14">
        <v>21</v>
      </c>
      <c r="J198" s="14">
        <v>22</v>
      </c>
      <c r="K198" s="15" t="str">
        <f t="shared" ref="K198:K199" si="31">HYPERLINK("http://twitter.com/download/iphone","Twitter for iPhone")</f>
        <v>Twitter for iPhone</v>
      </c>
      <c r="L198" s="14">
        <v>509</v>
      </c>
      <c r="M198" s="14">
        <v>629</v>
      </c>
      <c r="N198" s="14">
        <v>4</v>
      </c>
      <c r="O198" s="16"/>
      <c r="P198" s="6">
        <v>42811.720335648148</v>
      </c>
      <c r="Q198" s="12" t="s">
        <v>716</v>
      </c>
      <c r="R198" s="17" t="s">
        <v>717</v>
      </c>
      <c r="S198" s="11"/>
      <c r="T198" s="11"/>
      <c r="U198" s="10" t="str">
        <f>HYPERLINK("https://pbs.twimg.com/profile_images/1057743078608568320/H_UvvqAU.jpg","View")</f>
        <v>View</v>
      </c>
    </row>
    <row r="199" spans="1:21" ht="51">
      <c r="A199" s="6">
        <v>43441.980520833335</v>
      </c>
      <c r="B199" s="7" t="str">
        <f>HYPERLINK("https://twitter.com/Albert_Rivera","@Albert_Rivera")</f>
        <v>@Albert_Rivera</v>
      </c>
      <c r="C199" s="8" t="s">
        <v>443</v>
      </c>
      <c r="D199" s="9" t="s">
        <v>1029</v>
      </c>
      <c r="E199" s="10" t="str">
        <f>HYPERLINK("https://twitter.com/Albert_Rivera/status/1071170474284077056","1071170474284077056")</f>
        <v>1071170474284077056</v>
      </c>
      <c r="F199" s="12" t="s">
        <v>1031</v>
      </c>
      <c r="G199" s="11"/>
      <c r="H199" s="11"/>
      <c r="I199" s="14">
        <v>120</v>
      </c>
      <c r="J199" s="14">
        <v>373</v>
      </c>
      <c r="K199" s="15" t="str">
        <f t="shared" si="31"/>
        <v>Twitter for iPhone</v>
      </c>
      <c r="L199" s="14">
        <v>1075807</v>
      </c>
      <c r="M199" s="14">
        <v>2547</v>
      </c>
      <c r="N199" s="14">
        <v>5114</v>
      </c>
      <c r="O199" s="19" t="s">
        <v>42</v>
      </c>
      <c r="P199" s="6">
        <v>40205.748171296298</v>
      </c>
      <c r="Q199" s="12" t="s">
        <v>137</v>
      </c>
      <c r="R199" s="17" t="s">
        <v>450</v>
      </c>
      <c r="S199" s="13" t="s">
        <v>452</v>
      </c>
      <c r="T199" s="11"/>
      <c r="U199" s="10" t="str">
        <f>HYPERLINK("https://pbs.twimg.com/profile_images/1030708936779988993/RncDM4EZ.jpg","View")</f>
        <v>View</v>
      </c>
    </row>
    <row r="200" spans="1:21" ht="112.2">
      <c r="A200" s="6">
        <v>43441.968958333338</v>
      </c>
      <c r="B200" s="7" t="str">
        <f>HYPERLINK("https://twitter.com/jmguzmanocon","@jmguzmanocon")</f>
        <v>@jmguzmanocon</v>
      </c>
      <c r="C200" s="8" t="s">
        <v>71</v>
      </c>
      <c r="D200" s="9" t="s">
        <v>723</v>
      </c>
      <c r="E200" s="10" t="str">
        <f>HYPERLINK("https://twitter.com/jmguzmanocon/status/1071166284149202947","1071166284149202947")</f>
        <v>1071166284149202947</v>
      </c>
      <c r="F200" s="13" t="s">
        <v>726</v>
      </c>
      <c r="G200" s="11"/>
      <c r="H200" s="11"/>
      <c r="I200" s="14">
        <v>0</v>
      </c>
      <c r="J200" s="14">
        <v>1</v>
      </c>
      <c r="K200" s="15" t="str">
        <f>HYPERLINK("https://mobile.twitter.com","Twitter Lite")</f>
        <v>Twitter Lite</v>
      </c>
      <c r="L200" s="14">
        <v>47</v>
      </c>
      <c r="M200" s="14">
        <v>418</v>
      </c>
      <c r="N200" s="14">
        <v>0</v>
      </c>
      <c r="O200" s="16"/>
      <c r="P200" s="6">
        <v>40881.688437500001</v>
      </c>
      <c r="Q200" s="11"/>
      <c r="R200" s="18"/>
      <c r="S200" s="11"/>
      <c r="T200" s="11"/>
      <c r="U200" s="10" t="str">
        <f>HYPERLINK("https://pbs.twimg.com/profile_images/2573244350/40rcwQjo","View")</f>
        <v>View</v>
      </c>
    </row>
    <row r="201" spans="1:21" ht="51">
      <c r="A201" s="6">
        <v>43441.962418981479</v>
      </c>
      <c r="B201" s="7" t="str">
        <f>HYPERLINK("https://twitter.com/manuela1932","@manuela1932")</f>
        <v>@manuela1932</v>
      </c>
      <c r="C201" s="21" t="s">
        <v>733</v>
      </c>
      <c r="D201" s="9" t="s">
        <v>734</v>
      </c>
      <c r="E201" s="10" t="str">
        <f>HYPERLINK("https://twitter.com/manuela1932/status/1071163915478933505","1071163915478933505")</f>
        <v>1071163915478933505</v>
      </c>
      <c r="F201" s="13" t="s">
        <v>735</v>
      </c>
      <c r="G201" s="11"/>
      <c r="H201" s="11"/>
      <c r="I201" s="14">
        <v>0</v>
      </c>
      <c r="J201" s="14">
        <v>0</v>
      </c>
      <c r="K201" s="15" t="str">
        <f>HYPERLINK("http://twitter.com/download/android","Twitter for Android")</f>
        <v>Twitter for Android</v>
      </c>
      <c r="L201" s="14">
        <v>28</v>
      </c>
      <c r="M201" s="14">
        <v>124</v>
      </c>
      <c r="N201" s="14">
        <v>0</v>
      </c>
      <c r="O201" s="16"/>
      <c r="P201" s="6">
        <v>40909.891064814816</v>
      </c>
      <c r="Q201" s="12" t="s">
        <v>736</v>
      </c>
      <c r="R201" s="18"/>
      <c r="S201" s="11"/>
      <c r="T201" s="11"/>
      <c r="U201" s="10" t="str">
        <f>HYPERLINK("https://pbs.twimg.com/profile_images/996997750297448449/e0XmQKYk.jpg","View")</f>
        <v>View</v>
      </c>
    </row>
    <row r="202" spans="1:21" ht="20.399999999999999">
      <c r="A202" s="6">
        <v>43441.958240740743</v>
      </c>
      <c r="B202" s="7" t="str">
        <f>HYPERLINK("https://twitter.com/LAREVUELO53","@LAREVUELO53")</f>
        <v>@LAREVUELO53</v>
      </c>
      <c r="C202" s="8" t="s">
        <v>1036</v>
      </c>
      <c r="D202" s="9" t="s">
        <v>1037</v>
      </c>
      <c r="E202" s="10" t="str">
        <f>HYPERLINK("https://twitter.com/LAREVUELO53/status/1071162401301647360","1071162401301647360")</f>
        <v>1071162401301647360</v>
      </c>
      <c r="F202" s="13" t="s">
        <v>1038</v>
      </c>
      <c r="G202" s="11"/>
      <c r="H202" s="11"/>
      <c r="I202" s="14">
        <v>0</v>
      </c>
      <c r="J202" s="14">
        <v>0</v>
      </c>
      <c r="K202" s="15" t="str">
        <f>HYPERLINK("http://twitter.com","Twitter Web Client")</f>
        <v>Twitter Web Client</v>
      </c>
      <c r="L202" s="14">
        <v>415</v>
      </c>
      <c r="M202" s="14">
        <v>1519</v>
      </c>
      <c r="N202" s="14">
        <v>4</v>
      </c>
      <c r="O202" s="16"/>
      <c r="P202" s="6">
        <v>40681.9059375</v>
      </c>
      <c r="Q202" s="12" t="s">
        <v>621</v>
      </c>
      <c r="R202" s="18"/>
      <c r="S202" s="13" t="s">
        <v>1040</v>
      </c>
      <c r="T202" s="11"/>
      <c r="U202" s="10" t="str">
        <f>HYPERLINK("https://pbs.twimg.com/profile_images/719705597436960769/UB_JVe0J.jpg","View")</f>
        <v>View</v>
      </c>
    </row>
    <row r="203" spans="1:21" ht="51">
      <c r="A203" s="6">
        <v>43441.957916666666</v>
      </c>
      <c r="B203" s="7" t="str">
        <f>HYPERLINK("https://twitter.com/Amacas64An","@Amacas64An")</f>
        <v>@Amacas64An</v>
      </c>
      <c r="C203" s="8" t="s">
        <v>737</v>
      </c>
      <c r="D203" s="9" t="s">
        <v>39</v>
      </c>
      <c r="E203" s="10" t="str">
        <f>HYPERLINK("https://twitter.com/Amacas64An/status/1071162282951000069","1071162282951000069")</f>
        <v>1071162282951000069</v>
      </c>
      <c r="F203" s="13" t="s">
        <v>738</v>
      </c>
      <c r="G203" s="11"/>
      <c r="H203" s="11"/>
      <c r="I203" s="14">
        <v>0</v>
      </c>
      <c r="J203" s="14">
        <v>0</v>
      </c>
      <c r="K203" s="15" t="str">
        <f>HYPERLINK("http://twitter.com/download/iphone","Twitter for iPhone")</f>
        <v>Twitter for iPhone</v>
      </c>
      <c r="L203" s="14">
        <v>37</v>
      </c>
      <c r="M203" s="14">
        <v>61</v>
      </c>
      <c r="N203" s="14">
        <v>0</v>
      </c>
      <c r="O203" s="16"/>
      <c r="P203" s="6">
        <v>41484.004479166666</v>
      </c>
      <c r="Q203" s="11"/>
      <c r="R203" s="18"/>
      <c r="S203" s="11"/>
      <c r="T203" s="11"/>
      <c r="U203" s="10" t="str">
        <f>HYPERLINK("https://pbs.twimg.com/profile_images/568762067726110720/0r-fUsc7.jpeg","View")</f>
        <v>View</v>
      </c>
    </row>
    <row r="204" spans="1:21" ht="20.399999999999999">
      <c r="A204" s="6">
        <v>43441.951990740738</v>
      </c>
      <c r="B204" s="7" t="str">
        <f>HYPERLINK("https://twitter.com/antonioarroyol","@antonioarroyol")</f>
        <v>@antonioarroyol</v>
      </c>
      <c r="C204" s="8" t="s">
        <v>739</v>
      </c>
      <c r="D204" s="9" t="s">
        <v>740</v>
      </c>
      <c r="E204" s="10" t="str">
        <f>HYPERLINK("https://twitter.com/antonioarroyol/status/1071160136046141440","1071160136046141440")</f>
        <v>1071160136046141440</v>
      </c>
      <c r="F204" s="11"/>
      <c r="G204" s="13" t="s">
        <v>741</v>
      </c>
      <c r="H204" s="11"/>
      <c r="I204" s="14">
        <v>0</v>
      </c>
      <c r="J204" s="14">
        <v>0</v>
      </c>
      <c r="K204" s="15" t="str">
        <f t="shared" ref="K204:K208" si="32">HYPERLINK("http://twitter.com/download/android","Twitter for Android")</f>
        <v>Twitter for Android</v>
      </c>
      <c r="L204" s="14">
        <v>2585</v>
      </c>
      <c r="M204" s="14">
        <v>369</v>
      </c>
      <c r="N204" s="14">
        <v>29</v>
      </c>
      <c r="O204" s="16"/>
      <c r="P204" s="6">
        <v>41177.568576388891</v>
      </c>
      <c r="Q204" s="12" t="s">
        <v>743</v>
      </c>
      <c r="R204" s="17" t="s">
        <v>744</v>
      </c>
      <c r="S204" s="13" t="s">
        <v>745</v>
      </c>
      <c r="T204" s="11"/>
      <c r="U204" s="10" t="str">
        <f>HYPERLINK("https://pbs.twimg.com/profile_images/1042800141252657152/FcVt0_Fi.jpg","View")</f>
        <v>View</v>
      </c>
    </row>
    <row r="205" spans="1:21" ht="71.400000000000006">
      <c r="A205" s="6">
        <v>43441.951249999998</v>
      </c>
      <c r="B205" s="7" t="str">
        <f>HYPERLINK("https://twitter.com/joanmiquelm4","@joanmiquelm4")</f>
        <v>@joanmiquelm4</v>
      </c>
      <c r="C205" s="8" t="s">
        <v>749</v>
      </c>
      <c r="D205" s="9" t="s">
        <v>750</v>
      </c>
      <c r="E205" s="10" t="str">
        <f>HYPERLINK("https://twitter.com/joanmiquelm4/status/1071159867224875009","1071159867224875009")</f>
        <v>1071159867224875009</v>
      </c>
      <c r="F205" s="13" t="s">
        <v>751</v>
      </c>
      <c r="G205" s="13" t="s">
        <v>752</v>
      </c>
      <c r="H205" s="11"/>
      <c r="I205" s="14">
        <v>0</v>
      </c>
      <c r="J205" s="14">
        <v>0</v>
      </c>
      <c r="K205" s="15" t="str">
        <f t="shared" si="32"/>
        <v>Twitter for Android</v>
      </c>
      <c r="L205" s="14">
        <v>193</v>
      </c>
      <c r="M205" s="14">
        <v>250</v>
      </c>
      <c r="N205" s="14">
        <v>22</v>
      </c>
      <c r="O205" s="16"/>
      <c r="P205" s="6">
        <v>41963.710092592592</v>
      </c>
      <c r="Q205" s="11"/>
      <c r="R205" s="17" t="s">
        <v>753</v>
      </c>
      <c r="S205" s="11"/>
      <c r="T205" s="11"/>
      <c r="U205" s="10" t="str">
        <f>HYPERLINK("https://pbs.twimg.com/profile_images/535464079948017666/sd81e-bA.jpeg","View")</f>
        <v>View</v>
      </c>
    </row>
    <row r="206" spans="1:21" ht="102">
      <c r="A206" s="6">
        <v>43441.948530092588</v>
      </c>
      <c r="B206" s="7" t="str">
        <f>HYPERLINK("https://twitter.com/doguionrego","@doguionrego")</f>
        <v>@doguionrego</v>
      </c>
      <c r="C206" s="8" t="s">
        <v>756</v>
      </c>
      <c r="D206" s="9" t="s">
        <v>757</v>
      </c>
      <c r="E206" s="10" t="str">
        <f>HYPERLINK("https://twitter.com/doguionrego/status/1071158884432338945","1071158884432338945")</f>
        <v>1071158884432338945</v>
      </c>
      <c r="F206" s="13" t="s">
        <v>760</v>
      </c>
      <c r="G206" s="11"/>
      <c r="H206" s="11"/>
      <c r="I206" s="14">
        <v>0</v>
      </c>
      <c r="J206" s="14">
        <v>1</v>
      </c>
      <c r="K206" s="15" t="str">
        <f t="shared" si="32"/>
        <v>Twitter for Android</v>
      </c>
      <c r="L206" s="14">
        <v>4649</v>
      </c>
      <c r="M206" s="14">
        <v>4774</v>
      </c>
      <c r="N206" s="14">
        <v>9</v>
      </c>
      <c r="O206" s="16"/>
      <c r="P206" s="6">
        <v>42818.633599537032</v>
      </c>
      <c r="Q206" s="12" t="s">
        <v>137</v>
      </c>
      <c r="R206" s="17" t="s">
        <v>761</v>
      </c>
      <c r="S206" s="11"/>
      <c r="T206" s="11"/>
      <c r="U206" s="10" t="str">
        <f>HYPERLINK("https://pbs.twimg.com/profile_images/937615481602789376/OBa7YPsM.jpg","View")</f>
        <v>View</v>
      </c>
    </row>
    <row r="207" spans="1:21" ht="40.799999999999997">
      <c r="A207" s="6">
        <v>43441.945185185185</v>
      </c>
      <c r="B207" s="7" t="str">
        <f>HYPERLINK("https://twitter.com/utopi_app","@utopi_app")</f>
        <v>@utopi_app</v>
      </c>
      <c r="C207" s="8" t="s">
        <v>1048</v>
      </c>
      <c r="D207" s="9" t="s">
        <v>1049</v>
      </c>
      <c r="E207" s="10" t="str">
        <f>HYPERLINK("https://twitter.com/utopi_app/status/1071157672265830400","1071157672265830400")</f>
        <v>1071157672265830400</v>
      </c>
      <c r="F207" s="13" t="s">
        <v>228</v>
      </c>
      <c r="G207" s="11"/>
      <c r="H207" s="11"/>
      <c r="I207" s="14">
        <v>0</v>
      </c>
      <c r="J207" s="14">
        <v>0</v>
      </c>
      <c r="K207" s="15" t="str">
        <f t="shared" si="32"/>
        <v>Twitter for Android</v>
      </c>
      <c r="L207" s="14">
        <v>88</v>
      </c>
      <c r="M207" s="14">
        <v>663</v>
      </c>
      <c r="N207" s="14">
        <v>1</v>
      </c>
      <c r="O207" s="16"/>
      <c r="P207" s="6">
        <v>42442.890798611115</v>
      </c>
      <c r="Q207" s="12" t="s">
        <v>961</v>
      </c>
      <c r="R207" s="17" t="s">
        <v>1052</v>
      </c>
      <c r="S207" s="13" t="s">
        <v>1053</v>
      </c>
      <c r="T207" s="11"/>
      <c r="U207" s="10" t="str">
        <f>HYPERLINK("https://pbs.twimg.com/profile_images/1014207523832958976/zV_7I-hY.jpg","View")</f>
        <v>View</v>
      </c>
    </row>
    <row r="208" spans="1:21" ht="51">
      <c r="A208" s="6">
        <v>43441.942627314813</v>
      </c>
      <c r="B208" s="7" t="str">
        <f>HYPERLINK("https://twitter.com/mmmbango","@mmmbango")</f>
        <v>@mmmbango</v>
      </c>
      <c r="C208" s="8" t="s">
        <v>1055</v>
      </c>
      <c r="D208" s="9" t="s">
        <v>1056</v>
      </c>
      <c r="E208" s="10" t="str">
        <f>HYPERLINK("https://twitter.com/mmmbango/status/1071156742971637761","1071156742971637761")</f>
        <v>1071156742971637761</v>
      </c>
      <c r="F208" s="13" t="s">
        <v>1057</v>
      </c>
      <c r="G208" s="11"/>
      <c r="H208" s="11"/>
      <c r="I208" s="14">
        <v>6</v>
      </c>
      <c r="J208" s="14">
        <v>8</v>
      </c>
      <c r="K208" s="15" t="str">
        <f t="shared" si="32"/>
        <v>Twitter for Android</v>
      </c>
      <c r="L208" s="14">
        <v>6691</v>
      </c>
      <c r="M208" s="14">
        <v>4488</v>
      </c>
      <c r="N208" s="14">
        <v>69</v>
      </c>
      <c r="O208" s="16"/>
      <c r="P208" s="6">
        <v>41521.720983796295</v>
      </c>
      <c r="Q208" s="12" t="s">
        <v>1060</v>
      </c>
      <c r="R208" s="17" t="s">
        <v>1061</v>
      </c>
      <c r="S208" s="13" t="s">
        <v>1062</v>
      </c>
      <c r="T208" s="11"/>
      <c r="U208" s="10" t="str">
        <f>HYPERLINK("https://pbs.twimg.com/profile_images/855523465796964352/PuP44M-h.jpg","View")</f>
        <v>View</v>
      </c>
    </row>
    <row r="209" spans="1:21" ht="20.399999999999999">
      <c r="A209" s="6">
        <v>43441.936168981483</v>
      </c>
      <c r="B209" s="7" t="str">
        <f>HYPERLINK("https://twitter.com/aforteso","@aforteso")</f>
        <v>@aforteso</v>
      </c>
      <c r="C209" s="8" t="s">
        <v>1063</v>
      </c>
      <c r="D209" s="9" t="s">
        <v>1064</v>
      </c>
      <c r="E209" s="10" t="str">
        <f>HYPERLINK("https://twitter.com/aforteso/status/1071154405259513858","1071154405259513858")</f>
        <v>1071154405259513858</v>
      </c>
      <c r="F209" s="13" t="s">
        <v>1065</v>
      </c>
      <c r="G209" s="11"/>
      <c r="H209" s="11"/>
      <c r="I209" s="14">
        <v>1</v>
      </c>
      <c r="J209" s="14">
        <v>0</v>
      </c>
      <c r="K209" s="15" t="str">
        <f>HYPERLINK("http://www.facebook.com/twitter","Facebook")</f>
        <v>Facebook</v>
      </c>
      <c r="L209" s="14">
        <v>742</v>
      </c>
      <c r="M209" s="14">
        <v>1473</v>
      </c>
      <c r="N209" s="14">
        <v>10</v>
      </c>
      <c r="O209" s="16"/>
      <c r="P209" s="6">
        <v>40605.64671296296</v>
      </c>
      <c r="Q209" s="11"/>
      <c r="R209" s="17" t="s">
        <v>1068</v>
      </c>
      <c r="S209" s="11"/>
      <c r="T209" s="11"/>
      <c r="U209" s="10" t="str">
        <f>HYPERLINK("https://pbs.twimg.com/profile_images/595674510591930369/PeTT34_d.jpg","View")</f>
        <v>View</v>
      </c>
    </row>
    <row r="210" spans="1:21" ht="91.8">
      <c r="A210" s="6">
        <v>43441.928518518514</v>
      </c>
      <c r="B210" s="7" t="str">
        <f>HYPERLINK("https://twitter.com/JoseLuisSanz02","@JoseLuisSanz02")</f>
        <v>@JoseLuisSanz02</v>
      </c>
      <c r="C210" s="8" t="s">
        <v>765</v>
      </c>
      <c r="D210" s="9" t="s">
        <v>766</v>
      </c>
      <c r="E210" s="10" t="str">
        <f>HYPERLINK("https://twitter.com/JoseLuisSanz02/status/1071151629200752642","1071151629200752642")</f>
        <v>1071151629200752642</v>
      </c>
      <c r="F210" s="13" t="s">
        <v>770</v>
      </c>
      <c r="G210" s="13" t="s">
        <v>771</v>
      </c>
      <c r="H210" s="11"/>
      <c r="I210" s="14">
        <v>0</v>
      </c>
      <c r="J210" s="14">
        <v>1</v>
      </c>
      <c r="K210" s="15" t="str">
        <f>HYPERLINK("http://twitter.com/download/android","Twitter for Android")</f>
        <v>Twitter for Android</v>
      </c>
      <c r="L210" s="14">
        <v>120</v>
      </c>
      <c r="M210" s="14">
        <v>118</v>
      </c>
      <c r="N210" s="14">
        <v>0</v>
      </c>
      <c r="O210" s="16"/>
      <c r="P210" s="6">
        <v>42983.875613425931</v>
      </c>
      <c r="Q210" s="12" t="s">
        <v>774</v>
      </c>
      <c r="R210" s="17" t="s">
        <v>775</v>
      </c>
      <c r="S210" s="11"/>
      <c r="T210" s="11"/>
      <c r="U210" s="10" t="str">
        <f>HYPERLINK("https://pbs.twimg.com/profile_images/906547734425034752/0t-h9D1r.jpg","View")</f>
        <v>View</v>
      </c>
    </row>
    <row r="211" spans="1:21" ht="13.2">
      <c r="A211" s="6">
        <v>43441.92796296296</v>
      </c>
      <c r="B211" s="7" t="str">
        <f>HYPERLINK("https://twitter.com/josetrig","@josetrig")</f>
        <v>@josetrig</v>
      </c>
      <c r="C211" s="8" t="s">
        <v>1073</v>
      </c>
      <c r="D211" s="9" t="s">
        <v>1074</v>
      </c>
      <c r="E211" s="10" t="str">
        <f>HYPERLINK("https://twitter.com/josetrig/status/1071151427605684224","1071151427605684224")</f>
        <v>1071151427605684224</v>
      </c>
      <c r="F211" s="13" t="s">
        <v>228</v>
      </c>
      <c r="G211" s="11"/>
      <c r="H211" s="11"/>
      <c r="I211" s="14">
        <v>0</v>
      </c>
      <c r="J211" s="14">
        <v>0</v>
      </c>
      <c r="K211" s="15" t="str">
        <f>HYPERLINK("http://www.facebook.com/twitter","Facebook")</f>
        <v>Facebook</v>
      </c>
      <c r="L211" s="14">
        <v>187</v>
      </c>
      <c r="M211" s="14">
        <v>341</v>
      </c>
      <c r="N211" s="14">
        <v>8</v>
      </c>
      <c r="O211" s="16"/>
      <c r="P211" s="6">
        <v>40201.818668981483</v>
      </c>
      <c r="Q211" s="11"/>
      <c r="R211" s="17" t="s">
        <v>1075</v>
      </c>
      <c r="S211" s="11"/>
      <c r="T211" s="11"/>
      <c r="U211" s="10" t="str">
        <f>HYPERLINK("https://pbs.twimg.com/profile_images/865285743618527233/0K9LUcpc.jpg","View")</f>
        <v>View</v>
      </c>
    </row>
    <row r="212" spans="1:21" ht="40.799999999999997">
      <c r="A212" s="6">
        <v>43441.924733796295</v>
      </c>
      <c r="B212" s="7" t="str">
        <f>HYPERLINK("https://twitter.com/DonMitxel_VI","@DonMitxel_VI")</f>
        <v>@DonMitxel_VI</v>
      </c>
      <c r="C212" s="8" t="s">
        <v>1076</v>
      </c>
      <c r="D212" s="9" t="s">
        <v>1077</v>
      </c>
      <c r="E212" s="10" t="str">
        <f>HYPERLINK("https://twitter.com/DonMitxel_VI/status/1071150257738838016","1071150257738838016")</f>
        <v>1071150257738838016</v>
      </c>
      <c r="F212" s="12" t="s">
        <v>1078</v>
      </c>
      <c r="G212" s="13" t="s">
        <v>1079</v>
      </c>
      <c r="H212" s="11"/>
      <c r="I212" s="14">
        <v>41</v>
      </c>
      <c r="J212" s="14">
        <v>45</v>
      </c>
      <c r="K212" s="15" t="str">
        <f>HYPERLINK("http://twitter.com","Twitter Web Client")</f>
        <v>Twitter Web Client</v>
      </c>
      <c r="L212" s="14">
        <v>17515</v>
      </c>
      <c r="M212" s="14">
        <v>3361</v>
      </c>
      <c r="N212" s="14">
        <v>215</v>
      </c>
      <c r="O212" s="16"/>
      <c r="P212" s="6">
        <v>40728.611493055556</v>
      </c>
      <c r="Q212" s="12" t="s">
        <v>1082</v>
      </c>
      <c r="R212" s="17" t="s">
        <v>1083</v>
      </c>
      <c r="S212" s="11"/>
      <c r="T212" s="11"/>
      <c r="U212" s="10" t="str">
        <f>HYPERLINK("https://pbs.twimg.com/profile_images/1827119712/calimero.jpg","View")</f>
        <v>View</v>
      </c>
    </row>
    <row r="213" spans="1:21" ht="40.799999999999997">
      <c r="A213" s="6">
        <v>43441.922673611116</v>
      </c>
      <c r="B213" s="7" t="str">
        <f>HYPERLINK("https://twitter.com/CigudosaJuan","@CigudosaJuan")</f>
        <v>@CigudosaJuan</v>
      </c>
      <c r="C213" s="8" t="s">
        <v>776</v>
      </c>
      <c r="D213" s="9" t="s">
        <v>777</v>
      </c>
      <c r="E213" s="10" t="str">
        <f>HYPERLINK("https://twitter.com/CigudosaJuan/status/1071149511500804096","1071149511500804096")</f>
        <v>1071149511500804096</v>
      </c>
      <c r="F213" s="13" t="s">
        <v>778</v>
      </c>
      <c r="G213" s="13" t="s">
        <v>779</v>
      </c>
      <c r="H213" s="11"/>
      <c r="I213" s="14">
        <v>0</v>
      </c>
      <c r="J213" s="14">
        <v>0</v>
      </c>
      <c r="K213" s="15" t="str">
        <f>HYPERLINK("http://twitter.com/download/iphone","Twitter for iPhone")</f>
        <v>Twitter for iPhone</v>
      </c>
      <c r="L213" s="14">
        <v>673</v>
      </c>
      <c r="M213" s="14">
        <v>307</v>
      </c>
      <c r="N213" s="14">
        <v>18</v>
      </c>
      <c r="O213" s="16"/>
      <c r="P213" s="6">
        <v>42340.448749999996</v>
      </c>
      <c r="Q213" s="12" t="s">
        <v>60</v>
      </c>
      <c r="R213" s="17" t="s">
        <v>780</v>
      </c>
      <c r="S213" s="13" t="s">
        <v>781</v>
      </c>
      <c r="T213" s="11"/>
      <c r="U213" s="10" t="str">
        <f>HYPERLINK("https://pbs.twimg.com/profile_images/671989592162181120/rIui63DX.png","View")</f>
        <v>View</v>
      </c>
    </row>
    <row r="214" spans="1:21" ht="30.6">
      <c r="A214" s="6">
        <v>43441.91914351852</v>
      </c>
      <c r="B214" s="7" t="str">
        <f>HYPERLINK("https://twitter.com/Beperfcts","@Beperfcts")</f>
        <v>@Beperfcts</v>
      </c>
      <c r="C214" s="8" t="s">
        <v>1087</v>
      </c>
      <c r="D214" s="9" t="s">
        <v>1088</v>
      </c>
      <c r="E214" s="10" t="str">
        <f>HYPERLINK("https://twitter.com/Beperfcts/status/1071148233932636171","1071148233932636171")</f>
        <v>1071148233932636171</v>
      </c>
      <c r="F214" s="11"/>
      <c r="G214" s="11"/>
      <c r="H214" s="11"/>
      <c r="I214" s="14">
        <v>0</v>
      </c>
      <c r="J214" s="14">
        <v>0</v>
      </c>
      <c r="K214" s="15" t="str">
        <f>HYPERLINK("http://twitter.com/download/android","Twitter for Android")</f>
        <v>Twitter for Android</v>
      </c>
      <c r="L214" s="14">
        <v>61</v>
      </c>
      <c r="M214" s="14">
        <v>240</v>
      </c>
      <c r="N214" s="14">
        <v>0</v>
      </c>
      <c r="O214" s="16"/>
      <c r="P214" s="6">
        <v>42977.84480324074</v>
      </c>
      <c r="Q214" s="11"/>
      <c r="R214" s="18"/>
      <c r="S214" s="11"/>
      <c r="T214" s="11"/>
      <c r="U214" s="10" t="str">
        <f>HYPERLINK("https://pbs.twimg.com/profile_images/999351800229588993/aj46yb1d.jpg","View")</f>
        <v>View</v>
      </c>
    </row>
    <row r="215" spans="1:21" ht="20.399999999999999">
      <c r="A215" s="6">
        <v>43441.918414351851</v>
      </c>
      <c r="B215" s="7" t="str">
        <f>HYPERLINK("https://twitter.com/ensata","@ensata")</f>
        <v>@ensata</v>
      </c>
      <c r="C215" s="8" t="s">
        <v>1092</v>
      </c>
      <c r="D215" s="9" t="s">
        <v>1093</v>
      </c>
      <c r="E215" s="10" t="str">
        <f>HYPERLINK("https://twitter.com/ensata/status/1071147967384616961","1071147967384616961")</f>
        <v>1071147967384616961</v>
      </c>
      <c r="F215" s="13" t="s">
        <v>1094</v>
      </c>
      <c r="G215" s="13" t="s">
        <v>1095</v>
      </c>
      <c r="H215" s="11"/>
      <c r="I215" s="14">
        <v>0</v>
      </c>
      <c r="J215" s="14">
        <v>1</v>
      </c>
      <c r="K215" s="15" t="str">
        <f>HYPERLINK("http://twitter.com","Twitter Web Client")</f>
        <v>Twitter Web Client</v>
      </c>
      <c r="L215" s="14">
        <v>14292</v>
      </c>
      <c r="M215" s="14">
        <v>13334</v>
      </c>
      <c r="N215" s="14">
        <v>153</v>
      </c>
      <c r="O215" s="16"/>
      <c r="P215" s="6">
        <v>39908.488946759258</v>
      </c>
      <c r="Q215" s="12" t="s">
        <v>1098</v>
      </c>
      <c r="R215" s="17" t="s">
        <v>1099</v>
      </c>
      <c r="S215" s="13" t="s">
        <v>1100</v>
      </c>
      <c r="T215" s="11"/>
      <c r="U215" s="10" t="str">
        <f>HYPERLINK("https://pbs.twimg.com/profile_images/2791683192/4237c175fd0e3a07d1b5a37bbebf41ab.jpeg","View")</f>
        <v>View</v>
      </c>
    </row>
    <row r="216" spans="1:21" ht="40.799999999999997">
      <c r="A216" s="6">
        <v>43441.916678240741</v>
      </c>
      <c r="B216" s="7" t="str">
        <f>HYPERLINK("https://twitter.com/El_Plural","@El_Plural")</f>
        <v>@El_Plural</v>
      </c>
      <c r="C216" s="8" t="s">
        <v>884</v>
      </c>
      <c r="D216" s="9" t="s">
        <v>1101</v>
      </c>
      <c r="E216" s="10" t="str">
        <f>HYPERLINK("https://twitter.com/El_Plural/status/1071147338507333632","1071147338507333632")</f>
        <v>1071147338507333632</v>
      </c>
      <c r="F216" s="13" t="s">
        <v>228</v>
      </c>
      <c r="G216" s="11"/>
      <c r="H216" s="11"/>
      <c r="I216" s="14">
        <v>14</v>
      </c>
      <c r="J216" s="14">
        <v>6</v>
      </c>
      <c r="K216" s="15" t="str">
        <f>HYPERLINK("https://about.twitter.com/products/tweetdeck","TweetDeck")</f>
        <v>TweetDeck</v>
      </c>
      <c r="L216" s="14">
        <v>72031</v>
      </c>
      <c r="M216" s="14">
        <v>1650</v>
      </c>
      <c r="N216" s="14">
        <v>2018</v>
      </c>
      <c r="O216" s="16"/>
      <c r="P216" s="6">
        <v>40351.51053240741</v>
      </c>
      <c r="Q216" s="12" t="s">
        <v>137</v>
      </c>
      <c r="R216" s="17" t="s">
        <v>889</v>
      </c>
      <c r="S216" s="13" t="s">
        <v>890</v>
      </c>
      <c r="T216" s="11"/>
      <c r="U216" s="10" t="str">
        <f>HYPERLINK("https://pbs.twimg.com/profile_images/1017707018138857473/kUt8X2tn.jpg","View")</f>
        <v>View</v>
      </c>
    </row>
    <row r="217" spans="1:21" ht="81.599999999999994">
      <c r="A217" s="6">
        <v>43441.913090277776</v>
      </c>
      <c r="B217" s="7" t="str">
        <f>HYPERLINK("https://twitter.com/barnanorte","@barnanorte")</f>
        <v>@barnanorte</v>
      </c>
      <c r="C217" s="8" t="s">
        <v>1104</v>
      </c>
      <c r="D217" s="9" t="s">
        <v>1105</v>
      </c>
      <c r="E217" s="10" t="str">
        <f>HYPERLINK("https://twitter.com/barnanorte/status/1071146038482923521","1071146038482923521")</f>
        <v>1071146038482923521</v>
      </c>
      <c r="F217" s="12" t="s">
        <v>1106</v>
      </c>
      <c r="G217" s="11"/>
      <c r="H217" s="11"/>
      <c r="I217" s="14">
        <v>0</v>
      </c>
      <c r="J217" s="14">
        <v>0</v>
      </c>
      <c r="K217" s="15" t="str">
        <f>HYPERLINK("http://twitter.com/download/iphone","Twitter for iPhone")</f>
        <v>Twitter for iPhone</v>
      </c>
      <c r="L217" s="14">
        <v>124</v>
      </c>
      <c r="M217" s="14">
        <v>58</v>
      </c>
      <c r="N217" s="14">
        <v>0</v>
      </c>
      <c r="O217" s="16"/>
      <c r="P217" s="6">
        <v>40303.910069444442</v>
      </c>
      <c r="Q217" s="11"/>
      <c r="R217" s="18"/>
      <c r="S217" s="11"/>
      <c r="T217" s="11"/>
      <c r="U217" s="10" t="str">
        <f>HYPERLINK("https://pbs.twimg.com/profile_images/712124571730620417/Yefd2Lll.jpg","View")</f>
        <v>View</v>
      </c>
    </row>
    <row r="218" spans="1:21" ht="40.799999999999997">
      <c r="A218" s="6">
        <v>43441.91133101852</v>
      </c>
      <c r="B218" s="7" t="str">
        <f>HYPERLINK("https://twitter.com/jmfrancas","@jmfrancas")</f>
        <v>@jmfrancas</v>
      </c>
      <c r="C218" s="8" t="s">
        <v>1107</v>
      </c>
      <c r="D218" s="9" t="s">
        <v>1108</v>
      </c>
      <c r="E218" s="10" t="str">
        <f>HYPERLINK("https://twitter.com/jmfrancas/status/1071145401447792646","1071145401447792646")</f>
        <v>1071145401447792646</v>
      </c>
      <c r="F218" s="13" t="s">
        <v>1109</v>
      </c>
      <c r="G218" s="13" t="s">
        <v>1110</v>
      </c>
      <c r="H218" s="11"/>
      <c r="I218" s="14">
        <v>3</v>
      </c>
      <c r="J218" s="14">
        <v>3</v>
      </c>
      <c r="K218" s="15" t="str">
        <f>HYPERLINK("http://twitter.com","Twitter Web Client")</f>
        <v>Twitter Web Client</v>
      </c>
      <c r="L218" s="14">
        <v>2806</v>
      </c>
      <c r="M218" s="14">
        <v>1564</v>
      </c>
      <c r="N218" s="14">
        <v>77</v>
      </c>
      <c r="O218" s="16"/>
      <c r="P218" s="6">
        <v>40638.560798611114</v>
      </c>
      <c r="Q218" s="12" t="s">
        <v>137</v>
      </c>
      <c r="R218" s="17" t="s">
        <v>1111</v>
      </c>
      <c r="S218" s="13" t="s">
        <v>1112</v>
      </c>
      <c r="T218" s="11"/>
      <c r="U218" s="10" t="str">
        <f>HYPERLINK("https://pbs.twimg.com/profile_images/1300700085/josep-maria-francas.jpg","View")</f>
        <v>View</v>
      </c>
    </row>
    <row r="219" spans="1:21" ht="20.399999999999999">
      <c r="A219" s="6">
        <v>43441.909780092596</v>
      </c>
      <c r="B219" s="7" t="str">
        <f>HYPERLINK("https://twitter.com/smrf50","@smrf50")</f>
        <v>@smrf50</v>
      </c>
      <c r="C219" s="8" t="s">
        <v>1114</v>
      </c>
      <c r="D219" s="9" t="s">
        <v>225</v>
      </c>
      <c r="E219" s="10" t="str">
        <f>HYPERLINK("https://twitter.com/smrf50/status/1071144839713042434","1071144839713042434")</f>
        <v>1071144839713042434</v>
      </c>
      <c r="F219" s="13" t="s">
        <v>228</v>
      </c>
      <c r="G219" s="11"/>
      <c r="H219" s="11"/>
      <c r="I219" s="14">
        <v>1</v>
      </c>
      <c r="J219" s="14">
        <v>1</v>
      </c>
      <c r="K219" s="15" t="str">
        <f t="shared" ref="K219:K223" si="33">HYPERLINK("http://twitter.com/download/android","Twitter for Android")</f>
        <v>Twitter for Android</v>
      </c>
      <c r="L219" s="14">
        <v>844</v>
      </c>
      <c r="M219" s="14">
        <v>1019</v>
      </c>
      <c r="N219" s="14">
        <v>81</v>
      </c>
      <c r="O219" s="16"/>
      <c r="P219" s="6">
        <v>41314.814976851849</v>
      </c>
      <c r="Q219" s="11"/>
      <c r="R219" s="18"/>
      <c r="S219" s="11"/>
      <c r="T219" s="11"/>
      <c r="U219" s="10" t="str">
        <f>HYPERLINK("https://pbs.twimg.com/profile_images/920056769363181568/qVLbZp6R.jpg","View")</f>
        <v>View</v>
      </c>
    </row>
    <row r="220" spans="1:21" ht="40.799999999999997">
      <c r="A220" s="6">
        <v>43441.903414351851</v>
      </c>
      <c r="B220" s="7" t="str">
        <f>HYPERLINK("https://twitter.com/BromiusBCN","@BromiusBCN")</f>
        <v>@BromiusBCN</v>
      </c>
      <c r="C220" s="8" t="s">
        <v>1117</v>
      </c>
      <c r="D220" s="9" t="s">
        <v>1118</v>
      </c>
      <c r="E220" s="10" t="str">
        <f>HYPERLINK("https://twitter.com/BromiusBCN/status/1071142534972407810","1071142534972407810")</f>
        <v>1071142534972407810</v>
      </c>
      <c r="F220" s="13" t="s">
        <v>1119</v>
      </c>
      <c r="G220" s="11"/>
      <c r="H220" s="11"/>
      <c r="I220" s="14">
        <v>15</v>
      </c>
      <c r="J220" s="14">
        <v>19</v>
      </c>
      <c r="K220" s="15" t="str">
        <f t="shared" si="33"/>
        <v>Twitter for Android</v>
      </c>
      <c r="L220" s="14">
        <v>1875</v>
      </c>
      <c r="M220" s="14">
        <v>879</v>
      </c>
      <c r="N220" s="14">
        <v>6</v>
      </c>
      <c r="O220" s="16"/>
      <c r="P220" s="6">
        <v>43098.393541666665</v>
      </c>
      <c r="Q220" s="12" t="s">
        <v>1121</v>
      </c>
      <c r="R220" s="17" t="s">
        <v>1122</v>
      </c>
      <c r="S220" s="13" t="s">
        <v>1123</v>
      </c>
      <c r="T220" s="11"/>
      <c r="U220" s="10" t="str">
        <f>HYPERLINK("https://pbs.twimg.com/profile_images/1053535046399868928/5zG4nRdC.jpg","View")</f>
        <v>View</v>
      </c>
    </row>
    <row r="221" spans="1:21" ht="51">
      <c r="A221" s="6">
        <v>43441.901770833334</v>
      </c>
      <c r="B221" s="7" t="str">
        <f>HYPERLINK("https://twitter.com/aviatllibertat","@aviatllibertat")</f>
        <v>@aviatllibertat</v>
      </c>
      <c r="C221" s="8" t="s">
        <v>785</v>
      </c>
      <c r="D221" s="9" t="s">
        <v>787</v>
      </c>
      <c r="E221" s="10" t="str">
        <f>HYPERLINK("https://twitter.com/aviatllibertat/status/1071141938332622848","1071141938332622848")</f>
        <v>1071141938332622848</v>
      </c>
      <c r="F221" s="11"/>
      <c r="G221" s="11"/>
      <c r="H221" s="11"/>
      <c r="I221" s="14">
        <v>0</v>
      </c>
      <c r="J221" s="14">
        <v>0</v>
      </c>
      <c r="K221" s="15" t="str">
        <f t="shared" si="33"/>
        <v>Twitter for Android</v>
      </c>
      <c r="L221" s="14">
        <v>1937</v>
      </c>
      <c r="M221" s="14">
        <v>2617</v>
      </c>
      <c r="N221" s="14">
        <v>33</v>
      </c>
      <c r="O221" s="16"/>
      <c r="P221" s="6">
        <v>41027.105555555558</v>
      </c>
      <c r="Q221" s="12" t="s">
        <v>790</v>
      </c>
      <c r="R221" s="17" t="s">
        <v>791</v>
      </c>
      <c r="S221" s="11"/>
      <c r="T221" s="11"/>
      <c r="U221" s="10" t="str">
        <f>HYPERLINK("https://pbs.twimg.com/profile_images/1071305320809549824/kVPqd5qG.jpg","View")</f>
        <v>View</v>
      </c>
    </row>
    <row r="222" spans="1:21" ht="13.2">
      <c r="A222" s="6">
        <v>43441.900578703702</v>
      </c>
      <c r="B222" s="7" t="str">
        <f>HYPERLINK("https://twitter.com/PEGRIGRI","@PEGRIGRI")</f>
        <v>@PEGRIGRI</v>
      </c>
      <c r="C222" s="8" t="s">
        <v>1126</v>
      </c>
      <c r="D222" s="9" t="s">
        <v>1127</v>
      </c>
      <c r="E222" s="10" t="str">
        <f>HYPERLINK("https://twitter.com/PEGRIGRI/status/1071141505346228224","1071141505346228224")</f>
        <v>1071141505346228224</v>
      </c>
      <c r="F222" s="11"/>
      <c r="G222" s="11"/>
      <c r="H222" s="11"/>
      <c r="I222" s="14">
        <v>0</v>
      </c>
      <c r="J222" s="14">
        <v>0</v>
      </c>
      <c r="K222" s="15" t="str">
        <f t="shared" si="33"/>
        <v>Twitter for Android</v>
      </c>
      <c r="L222" s="14">
        <v>149</v>
      </c>
      <c r="M222" s="14">
        <v>531</v>
      </c>
      <c r="N222" s="14">
        <v>1</v>
      </c>
      <c r="O222" s="16"/>
      <c r="P222" s="6">
        <v>40684.369895833333</v>
      </c>
      <c r="Q222" s="11"/>
      <c r="R222" s="17" t="s">
        <v>1128</v>
      </c>
      <c r="S222" s="11"/>
      <c r="T222" s="11"/>
      <c r="U222" s="10" t="str">
        <f>HYPERLINK("https://pbs.twimg.com/profile_images/765260483008012288/Anhn7Wei.jpg","View")</f>
        <v>View</v>
      </c>
    </row>
    <row r="223" spans="1:21" ht="91.8">
      <c r="A223" s="6">
        <v>43441.895069444443</v>
      </c>
      <c r="B223" s="7" t="str">
        <f>HYPERLINK("https://twitter.com/Vesov","@Vesov")</f>
        <v>@Vesov</v>
      </c>
      <c r="C223" s="8" t="s">
        <v>792</v>
      </c>
      <c r="D223" s="9" t="s">
        <v>793</v>
      </c>
      <c r="E223" s="10" t="str">
        <f>HYPERLINK("https://twitter.com/Vesov/status/1071139508807176198","1071139508807176198")</f>
        <v>1071139508807176198</v>
      </c>
      <c r="F223" s="12" t="s">
        <v>795</v>
      </c>
      <c r="G223" s="11"/>
      <c r="H223" s="11"/>
      <c r="I223" s="14">
        <v>1</v>
      </c>
      <c r="J223" s="14">
        <v>3</v>
      </c>
      <c r="K223" s="15" t="str">
        <f t="shared" si="33"/>
        <v>Twitter for Android</v>
      </c>
      <c r="L223" s="14">
        <v>730</v>
      </c>
      <c r="M223" s="14">
        <v>651</v>
      </c>
      <c r="N223" s="14">
        <v>6</v>
      </c>
      <c r="O223" s="16"/>
      <c r="P223" s="6">
        <v>40539.659050925926</v>
      </c>
      <c r="Q223" s="12" t="s">
        <v>798</v>
      </c>
      <c r="R223" s="17" t="s">
        <v>799</v>
      </c>
      <c r="S223" s="11"/>
      <c r="T223" s="11"/>
      <c r="U223" s="10" t="str">
        <f>HYPERLINK("https://pbs.twimg.com/profile_images/990979837379694593/qeV53y7c.jpg","View")</f>
        <v>View</v>
      </c>
    </row>
    <row r="224" spans="1:21" ht="51">
      <c r="A224" s="6">
        <v>43441.876342592594</v>
      </c>
      <c r="B224" s="7" t="str">
        <f>HYPERLINK("https://twitter.com/danielortizguer","@danielortizguer")</f>
        <v>@danielortizguer</v>
      </c>
      <c r="C224" s="8" t="s">
        <v>802</v>
      </c>
      <c r="D224" s="9" t="s">
        <v>803</v>
      </c>
      <c r="E224" s="10" t="str">
        <f>HYPERLINK("https://twitter.com/danielortizguer/status/1071132722050097153","1071132722050097153")</f>
        <v>1071132722050097153</v>
      </c>
      <c r="F224" s="11"/>
      <c r="G224" s="11"/>
      <c r="H224" s="11"/>
      <c r="I224" s="14">
        <v>1</v>
      </c>
      <c r="J224" s="14">
        <v>4</v>
      </c>
      <c r="K224" s="15" t="str">
        <f>HYPERLINK("http://twitter.com","Twitter Web Client")</f>
        <v>Twitter Web Client</v>
      </c>
      <c r="L224" s="14">
        <v>3093</v>
      </c>
      <c r="M224" s="14">
        <v>2337</v>
      </c>
      <c r="N224" s="14">
        <v>89</v>
      </c>
      <c r="O224" s="16"/>
      <c r="P224" s="6">
        <v>40326.8440162037</v>
      </c>
      <c r="Q224" s="12" t="s">
        <v>137</v>
      </c>
      <c r="R224" s="17" t="s">
        <v>805</v>
      </c>
      <c r="S224" s="11"/>
      <c r="T224" s="11"/>
      <c r="U224" s="10" t="str">
        <f>HYPERLINK("https://pbs.twimg.com/profile_images/1062999060838338560/oQNdOi9G.jpg","View")</f>
        <v>View</v>
      </c>
    </row>
    <row r="225" spans="1:21" ht="40.799999999999997">
      <c r="A225" s="6">
        <v>43441.87501157407</v>
      </c>
      <c r="B225" s="7" t="str">
        <f>HYPERLINK("https://twitter.com/El_Plural","@El_Plural")</f>
        <v>@El_Plural</v>
      </c>
      <c r="C225" s="8" t="s">
        <v>884</v>
      </c>
      <c r="D225" s="9" t="s">
        <v>1136</v>
      </c>
      <c r="E225" s="10" t="str">
        <f>HYPERLINK("https://twitter.com/El_Plural/status/1071132241315606528","1071132241315606528")</f>
        <v>1071132241315606528</v>
      </c>
      <c r="F225" s="13" t="s">
        <v>1137</v>
      </c>
      <c r="G225" s="11"/>
      <c r="H225" s="11"/>
      <c r="I225" s="14">
        <v>4</v>
      </c>
      <c r="J225" s="14">
        <v>2</v>
      </c>
      <c r="K225" s="15" t="str">
        <f>HYPERLINK("https://about.twitter.com/products/tweetdeck","TweetDeck")</f>
        <v>TweetDeck</v>
      </c>
      <c r="L225" s="14">
        <v>72031</v>
      </c>
      <c r="M225" s="14">
        <v>1650</v>
      </c>
      <c r="N225" s="14">
        <v>2018</v>
      </c>
      <c r="O225" s="16"/>
      <c r="P225" s="6">
        <v>40351.51053240741</v>
      </c>
      <c r="Q225" s="12" t="s">
        <v>137</v>
      </c>
      <c r="R225" s="17" t="s">
        <v>889</v>
      </c>
      <c r="S225" s="13" t="s">
        <v>890</v>
      </c>
      <c r="T225" s="11"/>
      <c r="U225" s="10" t="str">
        <f>HYPERLINK("https://pbs.twimg.com/profile_images/1017707018138857473/kUt8X2tn.jpg","View")</f>
        <v>View</v>
      </c>
    </row>
    <row r="226" spans="1:21" ht="91.8">
      <c r="A226" s="6">
        <v>43441.874386574069</v>
      </c>
      <c r="B226" s="7" t="str">
        <f>HYPERLINK("https://twitter.com/mabellogar","@mabellogar")</f>
        <v>@mabellogar</v>
      </c>
      <c r="C226" s="8" t="s">
        <v>807</v>
      </c>
      <c r="D226" s="9" t="s">
        <v>808</v>
      </c>
      <c r="E226" s="10" t="str">
        <f>HYPERLINK("https://twitter.com/mabellogar/status/1071132012386357249","1071132012386357249")</f>
        <v>1071132012386357249</v>
      </c>
      <c r="F226" s="13" t="s">
        <v>809</v>
      </c>
      <c r="G226" s="13" t="s">
        <v>810</v>
      </c>
      <c r="H226" s="11"/>
      <c r="I226" s="14">
        <v>29</v>
      </c>
      <c r="J226" s="14">
        <v>30</v>
      </c>
      <c r="K226" s="15" t="str">
        <f t="shared" ref="K226:K227" si="34">HYPERLINK("http://twitter.com/download/android","Twitter for Android")</f>
        <v>Twitter for Android</v>
      </c>
      <c r="L226" s="14">
        <v>1765</v>
      </c>
      <c r="M226" s="14">
        <v>1825</v>
      </c>
      <c r="N226" s="14">
        <v>43</v>
      </c>
      <c r="O226" s="16"/>
      <c r="P226" s="6">
        <v>42420.950428240743</v>
      </c>
      <c r="Q226" s="12" t="s">
        <v>60</v>
      </c>
      <c r="R226" s="17" t="s">
        <v>811</v>
      </c>
      <c r="S226" s="11"/>
      <c r="T226" s="11"/>
      <c r="U226" s="10" t="str">
        <f>HYPERLINK("https://pbs.twimg.com/profile_images/1053598701711699968/RjkgmNP4.jpg","View")</f>
        <v>View</v>
      </c>
    </row>
    <row r="227" spans="1:21" ht="13.2">
      <c r="A227" s="6">
        <v>43441.872731481482</v>
      </c>
      <c r="B227" s="7" t="str">
        <f>HYPERLINK("https://twitter.com/TodoMentira_","@TodoMentira_")</f>
        <v>@TodoMentira_</v>
      </c>
      <c r="C227" s="8" t="s">
        <v>1142</v>
      </c>
      <c r="D227" s="9" t="s">
        <v>1143</v>
      </c>
      <c r="E227" s="10" t="str">
        <f>HYPERLINK("https://twitter.com/TodoMentira_/status/1071131414702239746","1071131414702239746")</f>
        <v>1071131414702239746</v>
      </c>
      <c r="F227" s="11"/>
      <c r="G227" s="11"/>
      <c r="H227" s="11"/>
      <c r="I227" s="14">
        <v>0</v>
      </c>
      <c r="J227" s="14">
        <v>0</v>
      </c>
      <c r="K227" s="15" t="str">
        <f t="shared" si="34"/>
        <v>Twitter for Android</v>
      </c>
      <c r="L227" s="14">
        <v>931</v>
      </c>
      <c r="M227" s="14">
        <v>1057</v>
      </c>
      <c r="N227" s="14">
        <v>23</v>
      </c>
      <c r="O227" s="16"/>
      <c r="P227" s="6">
        <v>40020.816932870366</v>
      </c>
      <c r="Q227" s="12" t="s">
        <v>1144</v>
      </c>
      <c r="R227" s="17" t="s">
        <v>1145</v>
      </c>
      <c r="S227" s="11"/>
      <c r="T227" s="11"/>
      <c r="U227" s="10" t="str">
        <f>HYPERLINK("https://pbs.twimg.com/profile_images/1053936883498172416/j_xT_RYf.jpg","View")</f>
        <v>View</v>
      </c>
    </row>
    <row r="228" spans="1:21" ht="51">
      <c r="A228" s="6">
        <v>43441.86891203704</v>
      </c>
      <c r="B228" s="7" t="str">
        <f>HYPERLINK("https://twitter.com/tiboku44","@tiboku44")</f>
        <v>@tiboku44</v>
      </c>
      <c r="C228" s="8" t="s">
        <v>814</v>
      </c>
      <c r="D228" s="9" t="s">
        <v>39</v>
      </c>
      <c r="E228" s="10" t="str">
        <f>HYPERLINK("https://twitter.com/tiboku44/status/1071130029407551494","1071130029407551494")</f>
        <v>1071130029407551494</v>
      </c>
      <c r="F228" s="13" t="s">
        <v>815</v>
      </c>
      <c r="G228" s="11"/>
      <c r="H228" s="11"/>
      <c r="I228" s="14">
        <v>0</v>
      </c>
      <c r="J228" s="14">
        <v>0</v>
      </c>
      <c r="K228" s="15" t="str">
        <f>HYPERLINK("http://twitter.com","Twitter Web Client")</f>
        <v>Twitter Web Client</v>
      </c>
      <c r="L228" s="14">
        <v>220</v>
      </c>
      <c r="M228" s="14">
        <v>1502</v>
      </c>
      <c r="N228" s="14">
        <v>1</v>
      </c>
      <c r="O228" s="16"/>
      <c r="P228" s="6">
        <v>41707.677002314813</v>
      </c>
      <c r="Q228" s="12" t="s">
        <v>678</v>
      </c>
      <c r="R228" s="17" t="s">
        <v>816</v>
      </c>
      <c r="S228" s="11"/>
      <c r="T228" s="11"/>
      <c r="U228" s="10" t="str">
        <f>HYPERLINK("https://pbs.twimg.com/profile_images/442820703373381632/fanQ4log.jpeg","View")</f>
        <v>View</v>
      </c>
    </row>
    <row r="229" spans="1:21" ht="51">
      <c r="A229" s="6">
        <v>43441.868634259255</v>
      </c>
      <c r="B229" s="7" t="str">
        <f t="shared" ref="B229:B230" si="35">HYPERLINK("https://twitter.com/jardineraenpie","@jardineraenpie")</f>
        <v>@jardineraenpie</v>
      </c>
      <c r="C229" s="8" t="s">
        <v>1149</v>
      </c>
      <c r="D229" s="9" t="s">
        <v>1150</v>
      </c>
      <c r="E229" s="10" t="str">
        <f>HYPERLINK("https://twitter.com/jardineraenpie/status/1071129927741792258","1071129927741792258")</f>
        <v>1071129927741792258</v>
      </c>
      <c r="F229" s="12" t="s">
        <v>1151</v>
      </c>
      <c r="G229" s="11"/>
      <c r="H229" s="11"/>
      <c r="I229" s="14">
        <v>0</v>
      </c>
      <c r="J229" s="14">
        <v>1</v>
      </c>
      <c r="K229" s="15" t="str">
        <f t="shared" ref="K229:K230" si="36">HYPERLINK("http://twitter.com/download/android","Twitter for Android")</f>
        <v>Twitter for Android</v>
      </c>
      <c r="L229" s="14">
        <v>481</v>
      </c>
      <c r="M229" s="14">
        <v>452</v>
      </c>
      <c r="N229" s="14">
        <v>9</v>
      </c>
      <c r="O229" s="16"/>
      <c r="P229" s="6">
        <v>42346.022650462968</v>
      </c>
      <c r="Q229" s="11"/>
      <c r="R229" s="17" t="s">
        <v>1152</v>
      </c>
      <c r="S229" s="11"/>
      <c r="T229" s="11"/>
      <c r="U229" s="10" t="str">
        <f t="shared" ref="U229:U230" si="37">HYPERLINK("https://pbs.twimg.com/profile_images/885866641241890818/e4FSvl4i.jpg","View")</f>
        <v>View</v>
      </c>
    </row>
    <row r="230" spans="1:21" ht="91.8">
      <c r="A230" s="6">
        <v>43441.853356481486</v>
      </c>
      <c r="B230" s="7" t="str">
        <f t="shared" si="35"/>
        <v>@jardineraenpie</v>
      </c>
      <c r="C230" s="8" t="s">
        <v>1149</v>
      </c>
      <c r="D230" s="9" t="s">
        <v>1155</v>
      </c>
      <c r="E230" s="10" t="str">
        <f>HYPERLINK("https://twitter.com/jardineraenpie/status/1071124391801569280","1071124391801569280")</f>
        <v>1071124391801569280</v>
      </c>
      <c r="F230" s="12" t="s">
        <v>1157</v>
      </c>
      <c r="G230" s="13" t="s">
        <v>1158</v>
      </c>
      <c r="H230" s="11"/>
      <c r="I230" s="14">
        <v>0</v>
      </c>
      <c r="J230" s="14">
        <v>0</v>
      </c>
      <c r="K230" s="15" t="str">
        <f t="shared" si="36"/>
        <v>Twitter for Android</v>
      </c>
      <c r="L230" s="14">
        <v>481</v>
      </c>
      <c r="M230" s="14">
        <v>452</v>
      </c>
      <c r="N230" s="14">
        <v>9</v>
      </c>
      <c r="O230" s="16"/>
      <c r="P230" s="6">
        <v>42346.022650462968</v>
      </c>
      <c r="Q230" s="11"/>
      <c r="R230" s="17" t="s">
        <v>1152</v>
      </c>
      <c r="S230" s="11"/>
      <c r="T230" s="11"/>
      <c r="U230" s="10" t="str">
        <f t="shared" si="37"/>
        <v>View</v>
      </c>
    </row>
    <row r="231" spans="1:21" ht="51">
      <c r="A231" s="6">
        <v>43441.852881944447</v>
      </c>
      <c r="B231" s="7" t="str">
        <f>HYPERLINK("https://twitter.com/txema_joseba","@txema_joseba")</f>
        <v>@txema_joseba</v>
      </c>
      <c r="C231" s="8" t="s">
        <v>1160</v>
      </c>
      <c r="D231" s="9" t="s">
        <v>1162</v>
      </c>
      <c r="E231" s="10" t="str">
        <f>HYPERLINK("https://twitter.com/txema_joseba/status/1071124221563150336","1071124221563150336")</f>
        <v>1071124221563150336</v>
      </c>
      <c r="F231" s="13" t="s">
        <v>1137</v>
      </c>
      <c r="G231" s="11"/>
      <c r="H231" s="11"/>
      <c r="I231" s="14">
        <v>0</v>
      </c>
      <c r="J231" s="14">
        <v>0</v>
      </c>
      <c r="K231" s="15" t="str">
        <f>HYPERLINK("http://twitter.com","Twitter Web Client")</f>
        <v>Twitter Web Client</v>
      </c>
      <c r="L231" s="14">
        <v>6679</v>
      </c>
      <c r="M231" s="14">
        <v>6931</v>
      </c>
      <c r="N231" s="14">
        <v>34</v>
      </c>
      <c r="O231" s="16"/>
      <c r="P231" s="6">
        <v>41208.802557870367</v>
      </c>
      <c r="Q231" s="11"/>
      <c r="R231" s="17" t="s">
        <v>1164</v>
      </c>
      <c r="S231" s="11"/>
      <c r="T231" s="11"/>
      <c r="U231" s="10" t="str">
        <f>HYPERLINK("https://pbs.twimg.com/profile_images/2767677804/c94fd40d597056fa95d9d81e81e8de38.jpeg","View")</f>
        <v>View</v>
      </c>
    </row>
    <row r="232" spans="1:21" ht="20.399999999999999">
      <c r="A232" s="6">
        <v>43441.85157407407</v>
      </c>
      <c r="B232" s="7" t="str">
        <f>HYPERLINK("https://twitter.com/ellatigo_","@ellatigo_")</f>
        <v>@ellatigo_</v>
      </c>
      <c r="C232" s="8" t="s">
        <v>1168</v>
      </c>
      <c r="D232" s="9" t="s">
        <v>1169</v>
      </c>
      <c r="E232" s="10" t="str">
        <f>HYPERLINK("https://twitter.com/ellatigo_/status/1071123748818952192","1071123748818952192")</f>
        <v>1071123748818952192</v>
      </c>
      <c r="F232" s="11"/>
      <c r="G232" s="13" t="s">
        <v>1171</v>
      </c>
      <c r="H232" s="11"/>
      <c r="I232" s="14">
        <v>2</v>
      </c>
      <c r="J232" s="14">
        <v>1</v>
      </c>
      <c r="K232" s="15" t="str">
        <f>HYPERLINK("http://twitter.com/download/android","Twitter for Android")</f>
        <v>Twitter for Android</v>
      </c>
      <c r="L232" s="14">
        <v>73</v>
      </c>
      <c r="M232" s="14">
        <v>89</v>
      </c>
      <c r="N232" s="14">
        <v>0</v>
      </c>
      <c r="O232" s="16"/>
      <c r="P232" s="6">
        <v>43413.509826388894</v>
      </c>
      <c r="Q232" s="11"/>
      <c r="R232" s="17" t="s">
        <v>1172</v>
      </c>
      <c r="S232" s="11"/>
      <c r="T232" s="11"/>
      <c r="U232" s="10" t="str">
        <f>HYPERLINK("https://pbs.twimg.com/profile_images/1061989922855419904/TfpMy7-P.jpg","View")</f>
        <v>View</v>
      </c>
    </row>
    <row r="233" spans="1:21" ht="30.6">
      <c r="A233" s="6">
        <v>43441.847280092596</v>
      </c>
      <c r="B233" s="7" t="str">
        <f>HYPERLINK("https://twitter.com/CsRegionMurcia","@CsRegionMurcia")</f>
        <v>@CsRegionMurcia</v>
      </c>
      <c r="C233" s="8" t="s">
        <v>817</v>
      </c>
      <c r="D233" s="9" t="s">
        <v>818</v>
      </c>
      <c r="E233" s="10" t="str">
        <f>HYPERLINK("https://twitter.com/CsRegionMurcia/status/1071122192417607682","1071122192417607682")</f>
        <v>1071122192417607682</v>
      </c>
      <c r="F233" s="11"/>
      <c r="G233" s="13" t="s">
        <v>819</v>
      </c>
      <c r="H233" s="11"/>
      <c r="I233" s="14">
        <v>5</v>
      </c>
      <c r="J233" s="14">
        <v>7</v>
      </c>
      <c r="K233" s="15" t="str">
        <f>HYPERLINK("https://www.hootsuite.com","Hootsuite Inc.")</f>
        <v>Hootsuite Inc.</v>
      </c>
      <c r="L233" s="14">
        <v>6245</v>
      </c>
      <c r="M233" s="14">
        <v>1107</v>
      </c>
      <c r="N233" s="14">
        <v>96</v>
      </c>
      <c r="O233" s="19" t="s">
        <v>42</v>
      </c>
      <c r="P233" s="6">
        <v>40745.431666666671</v>
      </c>
      <c r="Q233" s="12" t="s">
        <v>820</v>
      </c>
      <c r="R233" s="17" t="s">
        <v>821</v>
      </c>
      <c r="S233" s="13" t="s">
        <v>822</v>
      </c>
      <c r="T233" s="11"/>
      <c r="U233" s="10" t="str">
        <f>HYPERLINK("https://pbs.twimg.com/profile_images/1053559144299614208/SFwaZPxU.jpg","View")</f>
        <v>View</v>
      </c>
    </row>
    <row r="234" spans="1:21" ht="51">
      <c r="A234" s="6">
        <v>43441.843935185185</v>
      </c>
      <c r="B234" s="7" t="str">
        <f>HYPERLINK("https://twitter.com/Rparre84","@Rparre84")</f>
        <v>@Rparre84</v>
      </c>
      <c r="C234" s="8" t="s">
        <v>824</v>
      </c>
      <c r="D234" s="9" t="s">
        <v>825</v>
      </c>
      <c r="E234" s="10" t="str">
        <f>HYPERLINK("https://twitter.com/Rparre84/status/1071120977214476291","1071120977214476291")</f>
        <v>1071120977214476291</v>
      </c>
      <c r="F234" s="12" t="s">
        <v>826</v>
      </c>
      <c r="G234" s="11"/>
      <c r="H234" s="11"/>
      <c r="I234" s="14">
        <v>2</v>
      </c>
      <c r="J234" s="14">
        <v>3</v>
      </c>
      <c r="K234" s="15" t="str">
        <f>HYPERLINK("http://twitter.com/download/android","Twitter for Android")</f>
        <v>Twitter for Android</v>
      </c>
      <c r="L234" s="14">
        <v>149</v>
      </c>
      <c r="M234" s="14">
        <v>621</v>
      </c>
      <c r="N234" s="14">
        <v>2</v>
      </c>
      <c r="O234" s="16"/>
      <c r="P234" s="6">
        <v>40545.594155092593</v>
      </c>
      <c r="Q234" s="12" t="s">
        <v>829</v>
      </c>
      <c r="R234" s="17" t="s">
        <v>830</v>
      </c>
      <c r="S234" s="11"/>
      <c r="T234" s="11"/>
      <c r="U234" s="10" t="str">
        <f>HYPERLINK("https://pbs.twimg.com/profile_images/1040622541105188864/EiqNa18g.jpg","View")</f>
        <v>View</v>
      </c>
    </row>
    <row r="235" spans="1:21" ht="40.799999999999997">
      <c r="A235" s="6">
        <v>43441.841111111113</v>
      </c>
      <c r="B235" s="7" t="str">
        <f>HYPERLINK("https://twitter.com/nefeerr","@nefeerr")</f>
        <v>@nefeerr</v>
      </c>
      <c r="C235" s="8" t="s">
        <v>1180</v>
      </c>
      <c r="D235" s="9" t="s">
        <v>225</v>
      </c>
      <c r="E235" s="10" t="str">
        <f>HYPERLINK("https://twitter.com/nefeerr/status/1071119954202759168","1071119954202759168")</f>
        <v>1071119954202759168</v>
      </c>
      <c r="F235" s="13" t="s">
        <v>228</v>
      </c>
      <c r="G235" s="11"/>
      <c r="H235" s="11"/>
      <c r="I235" s="14">
        <v>8</v>
      </c>
      <c r="J235" s="14">
        <v>2</v>
      </c>
      <c r="K235" s="15" t="str">
        <f>HYPERLINK("http://twitter.com","Twitter Web Client")</f>
        <v>Twitter Web Client</v>
      </c>
      <c r="L235" s="14">
        <v>73241</v>
      </c>
      <c r="M235" s="14">
        <v>78940</v>
      </c>
      <c r="N235" s="14">
        <v>377</v>
      </c>
      <c r="O235" s="16"/>
      <c r="P235" s="6">
        <v>40682.676620370374</v>
      </c>
      <c r="Q235" s="12" t="s">
        <v>1182</v>
      </c>
      <c r="R235" s="17" t="s">
        <v>1183</v>
      </c>
      <c r="S235" s="11"/>
      <c r="T235" s="11"/>
      <c r="U235" s="10" t="str">
        <f>HYPERLINK("https://pbs.twimg.com/profile_images/817294191055306752/CVQj58Pp.jpg","View")</f>
        <v>View</v>
      </c>
    </row>
    <row r="236" spans="1:21" ht="51">
      <c r="A236" s="6">
        <v>43441.840057870373</v>
      </c>
      <c r="B236" s="7" t="str">
        <f>HYPERLINK("https://twitter.com/CabreadoIronico","@CabreadoIronico")</f>
        <v>@CabreadoIronico</v>
      </c>
      <c r="C236" s="8" t="s">
        <v>833</v>
      </c>
      <c r="D236" s="9" t="s">
        <v>835</v>
      </c>
      <c r="E236" s="10" t="str">
        <f>HYPERLINK("https://twitter.com/CabreadoIronico/status/1071119574177906692","1071119574177906692")</f>
        <v>1071119574177906692</v>
      </c>
      <c r="F236" s="11"/>
      <c r="G236" s="11"/>
      <c r="H236" s="11"/>
      <c r="I236" s="14">
        <v>0</v>
      </c>
      <c r="J236" s="14">
        <v>2</v>
      </c>
      <c r="K236" s="15" t="str">
        <f>HYPERLINK("http://twitter.com/download/android","Twitter for Android")</f>
        <v>Twitter for Android</v>
      </c>
      <c r="L236" s="14">
        <v>15</v>
      </c>
      <c r="M236" s="14">
        <v>127</v>
      </c>
      <c r="N236" s="14">
        <v>0</v>
      </c>
      <c r="O236" s="16"/>
      <c r="P236" s="6">
        <v>43438.227893518517</v>
      </c>
      <c r="Q236" s="11"/>
      <c r="R236" s="18"/>
      <c r="S236" s="11"/>
      <c r="T236" s="11"/>
      <c r="U236" s="10" t="str">
        <f>HYPERLINK("https://pbs.twimg.com/profile_images/1069811905978687488/PVh96F51.jpg","View")</f>
        <v>View</v>
      </c>
    </row>
    <row r="237" spans="1:21" ht="30.6">
      <c r="A237" s="6">
        <v>43441.837071759262</v>
      </c>
      <c r="B237" s="7" t="str">
        <f>HYPERLINK("https://twitter.com/Pipo_242","@Pipo_242")</f>
        <v>@Pipo_242</v>
      </c>
      <c r="C237" s="8" t="s">
        <v>1188</v>
      </c>
      <c r="D237" s="9" t="s">
        <v>1189</v>
      </c>
      <c r="E237" s="10" t="str">
        <f>HYPERLINK("https://twitter.com/Pipo_242/status/1071118492265521153","1071118492265521153")</f>
        <v>1071118492265521153</v>
      </c>
      <c r="F237" s="11"/>
      <c r="G237" s="13" t="s">
        <v>1192</v>
      </c>
      <c r="H237" s="11"/>
      <c r="I237" s="14">
        <v>0</v>
      </c>
      <c r="J237" s="14">
        <v>1</v>
      </c>
      <c r="K237" s="15" t="str">
        <f>HYPERLINK("http://twitter.com","Twitter Web Client")</f>
        <v>Twitter Web Client</v>
      </c>
      <c r="L237" s="14">
        <v>167</v>
      </c>
      <c r="M237" s="14">
        <v>2</v>
      </c>
      <c r="N237" s="14">
        <v>38</v>
      </c>
      <c r="O237" s="16"/>
      <c r="P237" s="6">
        <v>40836.084085648152</v>
      </c>
      <c r="Q237" s="12" t="s">
        <v>508</v>
      </c>
      <c r="R237" s="17" t="s">
        <v>1194</v>
      </c>
      <c r="S237" s="13" t="s">
        <v>1195</v>
      </c>
      <c r="T237" s="11"/>
      <c r="U237" s="10" t="str">
        <f>HYPERLINK("https://pbs.twimg.com/profile_images/979447996847984640/u_TvLalz.jpg","View")</f>
        <v>View</v>
      </c>
    </row>
    <row r="238" spans="1:21" ht="20.399999999999999">
      <c r="A238" s="6">
        <v>43441.836701388893</v>
      </c>
      <c r="B238" s="7" t="str">
        <f>HYPERLINK("https://twitter.com/BeatMiro","@BeatMiro")</f>
        <v>@BeatMiro</v>
      </c>
      <c r="C238" s="8" t="s">
        <v>839</v>
      </c>
      <c r="D238" s="9" t="s">
        <v>840</v>
      </c>
      <c r="E238" s="10" t="str">
        <f>HYPERLINK("https://twitter.com/BeatMiro/status/1071118357645197313","1071118357645197313")</f>
        <v>1071118357645197313</v>
      </c>
      <c r="F238" s="11"/>
      <c r="G238" s="13" t="s">
        <v>842</v>
      </c>
      <c r="H238" s="11"/>
      <c r="I238" s="14">
        <v>1</v>
      </c>
      <c r="J238" s="14">
        <v>2</v>
      </c>
      <c r="K238" s="15" t="str">
        <f>HYPERLINK("http://twitter.com/download/iphone","Twitter for iPhone")</f>
        <v>Twitter for iPhone</v>
      </c>
      <c r="L238" s="14">
        <v>2992</v>
      </c>
      <c r="M238" s="14">
        <v>2903</v>
      </c>
      <c r="N238" s="14">
        <v>18</v>
      </c>
      <c r="O238" s="16"/>
      <c r="P238" s="6">
        <v>41356.816400462965</v>
      </c>
      <c r="Q238" s="12" t="s">
        <v>844</v>
      </c>
      <c r="R238" s="17" t="s">
        <v>845</v>
      </c>
      <c r="S238" s="11"/>
      <c r="T238" s="11"/>
      <c r="U238" s="10" t="str">
        <f>HYPERLINK("https://pbs.twimg.com/profile_images/944911380146094080/-rIHGHi6.jpg","View")</f>
        <v>View</v>
      </c>
    </row>
    <row r="239" spans="1:21" ht="30.6">
      <c r="A239" s="6">
        <v>43441.831620370373</v>
      </c>
      <c r="B239" s="7" t="str">
        <f>HYPERLINK("https://twitter.com/AttFinch10","@AttFinch10")</f>
        <v>@AttFinch10</v>
      </c>
      <c r="C239" s="8" t="s">
        <v>1200</v>
      </c>
      <c r="D239" s="9" t="s">
        <v>1201</v>
      </c>
      <c r="E239" s="10" t="str">
        <f>HYPERLINK("https://twitter.com/AttFinch10/status/1071116518258343936","1071116518258343936")</f>
        <v>1071116518258343936</v>
      </c>
      <c r="F239" s="11"/>
      <c r="G239" s="11"/>
      <c r="H239" s="11"/>
      <c r="I239" s="14">
        <v>29</v>
      </c>
      <c r="J239" s="14">
        <v>105</v>
      </c>
      <c r="K239" s="15" t="str">
        <f>HYPERLINK("http://twitter.com","Twitter Web Client")</f>
        <v>Twitter Web Client</v>
      </c>
      <c r="L239" s="14">
        <v>1468</v>
      </c>
      <c r="M239" s="14">
        <v>166</v>
      </c>
      <c r="N239" s="14">
        <v>18</v>
      </c>
      <c r="O239" s="16"/>
      <c r="P239" s="6">
        <v>42892.911666666667</v>
      </c>
      <c r="Q239" s="11"/>
      <c r="R239" s="17" t="s">
        <v>1204</v>
      </c>
      <c r="S239" s="11"/>
      <c r="T239" s="11"/>
      <c r="U239" s="10" t="str">
        <f>HYPERLINK("https://pbs.twimg.com/profile_images/872182073381056513/hDJRTMoU.jpg","View")</f>
        <v>View</v>
      </c>
    </row>
    <row r="240" spans="1:21" ht="61.2">
      <c r="A240" s="6">
        <v>43441.830312499995</v>
      </c>
      <c r="B240" s="7" t="str">
        <f>HYPERLINK("https://twitter.com/ambcoses","@ambcoses")</f>
        <v>@ambcoses</v>
      </c>
      <c r="C240" s="8" t="s">
        <v>1206</v>
      </c>
      <c r="D240" s="9" t="s">
        <v>1207</v>
      </c>
      <c r="E240" s="10" t="str">
        <f>HYPERLINK("https://twitter.com/ambcoses/status/1071116044075495424","1071116044075495424")</f>
        <v>1071116044075495424</v>
      </c>
      <c r="F240" s="13" t="s">
        <v>1208</v>
      </c>
      <c r="G240" s="11"/>
      <c r="H240" s="11"/>
      <c r="I240" s="14">
        <v>0</v>
      </c>
      <c r="J240" s="14">
        <v>0</v>
      </c>
      <c r="K240" s="15" t="str">
        <f>HYPERLINK("http://twitter.com/#!/download/ipad","Twitter for iPad")</f>
        <v>Twitter for iPad</v>
      </c>
      <c r="L240" s="14">
        <v>34</v>
      </c>
      <c r="M240" s="14">
        <v>255</v>
      </c>
      <c r="N240" s="14">
        <v>0</v>
      </c>
      <c r="O240" s="16"/>
      <c r="P240" s="6">
        <v>42663.484039351853</v>
      </c>
      <c r="Q240" s="12" t="s">
        <v>1209</v>
      </c>
      <c r="R240" s="17" t="s">
        <v>1210</v>
      </c>
      <c r="S240" s="11"/>
      <c r="T240" s="11"/>
      <c r="U240" s="10" t="str">
        <f>HYPERLINK("https://pbs.twimg.com/profile_images/1050118574126366720/UDz2PSGI.jpg","View")</f>
        <v>View</v>
      </c>
    </row>
    <row r="241" spans="1:21" ht="20.399999999999999">
      <c r="A241" s="6">
        <v>43441.826805555553</v>
      </c>
      <c r="B241" s="7" t="str">
        <f>HYPERLINK("https://twitter.com/PBMarbeMalaga","@PBMarbeMalaga")</f>
        <v>@PBMarbeMalaga</v>
      </c>
      <c r="C241" s="8" t="s">
        <v>618</v>
      </c>
      <c r="D241" s="9" t="s">
        <v>1213</v>
      </c>
      <c r="E241" s="10" t="str">
        <f>HYPERLINK("https://twitter.com/PBMarbeMalaga/status/1071114770244362242","1071114770244362242")</f>
        <v>1071114770244362242</v>
      </c>
      <c r="F241" s="13" t="s">
        <v>1215</v>
      </c>
      <c r="G241" s="11"/>
      <c r="H241" s="11"/>
      <c r="I241" s="14">
        <v>0</v>
      </c>
      <c r="J241" s="14">
        <v>0</v>
      </c>
      <c r="K241" s="15" t="str">
        <f>HYPERLINK("https://javitang.ddns.net","PBMarbeMalaga")</f>
        <v>PBMarbeMalaga</v>
      </c>
      <c r="L241" s="14">
        <v>1316</v>
      </c>
      <c r="M241" s="14">
        <v>1358</v>
      </c>
      <c r="N241" s="14">
        <v>2</v>
      </c>
      <c r="O241" s="16"/>
      <c r="P241" s="6">
        <v>43149.814074074078</v>
      </c>
      <c r="Q241" s="12" t="s">
        <v>621</v>
      </c>
      <c r="R241" s="17" t="s">
        <v>622</v>
      </c>
      <c r="S241" s="11"/>
      <c r="T241" s="11"/>
      <c r="U241" s="10" t="str">
        <f>HYPERLINK("https://pbs.twimg.com/profile_images/965296691145531392/sAFnfUu2.jpg","View")</f>
        <v>View</v>
      </c>
    </row>
    <row r="242" spans="1:21" ht="30.6">
      <c r="A242" s="6">
        <v>43441.823611111111</v>
      </c>
      <c r="B242" s="7" t="str">
        <f>HYPERLINK("https://twitter.com/ElHuffPost","@ElHuffPost")</f>
        <v>@ElHuffPost</v>
      </c>
      <c r="C242" s="8" t="s">
        <v>114</v>
      </c>
      <c r="D242" s="9" t="s">
        <v>1218</v>
      </c>
      <c r="E242" s="10" t="str">
        <f>HYPERLINK("https://twitter.com/ElHuffPost/status/1071113613337915392","1071113613337915392")</f>
        <v>1071113613337915392</v>
      </c>
      <c r="F242" s="13" t="s">
        <v>1119</v>
      </c>
      <c r="G242" s="11"/>
      <c r="H242" s="11"/>
      <c r="I242" s="14">
        <v>2</v>
      </c>
      <c r="J242" s="14">
        <v>2</v>
      </c>
      <c r="K242" s="15" t="str">
        <f>HYPERLINK("https://about.twitter.com/products/tweetdeck","TweetDeck")</f>
        <v>TweetDeck</v>
      </c>
      <c r="L242" s="14">
        <v>431182</v>
      </c>
      <c r="M242" s="14">
        <v>1551</v>
      </c>
      <c r="N242" s="14">
        <v>8205</v>
      </c>
      <c r="O242" s="19" t="s">
        <v>42</v>
      </c>
      <c r="P242" s="6">
        <v>40785.027118055557</v>
      </c>
      <c r="Q242" s="12" t="s">
        <v>119</v>
      </c>
      <c r="R242" s="17" t="s">
        <v>120</v>
      </c>
      <c r="S242" s="13" t="s">
        <v>121</v>
      </c>
      <c r="T242" s="11"/>
      <c r="U242" s="10" t="str">
        <f>HYPERLINK("https://pbs.twimg.com/profile_images/921140803422089217/ETOEUOAx.jpg","View")</f>
        <v>View</v>
      </c>
    </row>
    <row r="243" spans="1:21" ht="51">
      <c r="A243" s="6">
        <v>43441.823587962965</v>
      </c>
      <c r="B243" s="7" t="str">
        <f>HYPERLINK("https://twitter.com/AzoteCasta","@AzoteCasta")</f>
        <v>@AzoteCasta</v>
      </c>
      <c r="C243" s="8" t="s">
        <v>848</v>
      </c>
      <c r="D243" s="9" t="s">
        <v>39</v>
      </c>
      <c r="E243" s="10" t="str">
        <f>HYPERLINK("https://twitter.com/AzoteCasta/status/1071113605452574721","1071113605452574721")</f>
        <v>1071113605452574721</v>
      </c>
      <c r="F243" s="13" t="s">
        <v>849</v>
      </c>
      <c r="G243" s="11"/>
      <c r="H243" s="11"/>
      <c r="I243" s="14">
        <v>10</v>
      </c>
      <c r="J243" s="14">
        <v>5</v>
      </c>
      <c r="K243" s="15" t="str">
        <f>HYPERLINK("http://twitter.com","Twitter Web Client")</f>
        <v>Twitter Web Client</v>
      </c>
      <c r="L243" s="14">
        <v>3687</v>
      </c>
      <c r="M243" s="14">
        <v>2738</v>
      </c>
      <c r="N243" s="14">
        <v>64</v>
      </c>
      <c r="O243" s="16"/>
      <c r="P243" s="6">
        <v>41441.048819444448</v>
      </c>
      <c r="Q243" s="12" t="s">
        <v>137</v>
      </c>
      <c r="R243" s="17" t="s">
        <v>852</v>
      </c>
      <c r="S243" s="11"/>
      <c r="T243" s="11"/>
      <c r="U243" s="10" t="str">
        <f>HYPERLINK("https://pbs.twimg.com/profile_images/1037474236691042309/9t-T1AZv.jpg","View")</f>
        <v>View</v>
      </c>
    </row>
    <row r="244" spans="1:21" ht="51">
      <c r="A244" s="6">
        <v>43441.82094907407</v>
      </c>
      <c r="B244" s="7" t="str">
        <f>HYPERLINK("https://twitter.com/alcolado53","@alcolado53")</f>
        <v>@alcolado53</v>
      </c>
      <c r="C244" s="8" t="s">
        <v>853</v>
      </c>
      <c r="D244" s="9" t="s">
        <v>854</v>
      </c>
      <c r="E244" s="10" t="str">
        <f>HYPERLINK("https://twitter.com/alcolado53/status/1071112649474215937","1071112649474215937")</f>
        <v>1071112649474215937</v>
      </c>
      <c r="F244" s="11"/>
      <c r="G244" s="11"/>
      <c r="H244" s="11"/>
      <c r="I244" s="14">
        <v>0</v>
      </c>
      <c r="J244" s="14">
        <v>0</v>
      </c>
      <c r="K244" s="15" t="str">
        <f t="shared" ref="K244:K247" si="38">HYPERLINK("http://twitter.com/download/android","Twitter for Android")</f>
        <v>Twitter for Android</v>
      </c>
      <c r="L244" s="14">
        <v>63</v>
      </c>
      <c r="M244" s="14">
        <v>94</v>
      </c>
      <c r="N244" s="14">
        <v>0</v>
      </c>
      <c r="O244" s="16"/>
      <c r="P244" s="6">
        <v>41807.041932870372</v>
      </c>
      <c r="Q244" s="11"/>
      <c r="R244" s="18"/>
      <c r="S244" s="11"/>
      <c r="T244" s="11"/>
      <c r="U244" s="10" t="str">
        <f>HYPERLINK("https://pbs.twimg.com/profile_images/1031266167221043200/1yMU4oO6.jpg","View")</f>
        <v>View</v>
      </c>
    </row>
    <row r="245" spans="1:21" ht="40.799999999999997">
      <c r="A245" s="6">
        <v>43441.820763888885</v>
      </c>
      <c r="B245" s="7" t="str">
        <f>HYPERLINK("https://twitter.com/jafspar","@jafspar")</f>
        <v>@jafspar</v>
      </c>
      <c r="C245" s="8" t="s">
        <v>862</v>
      </c>
      <c r="D245" s="9" t="s">
        <v>863</v>
      </c>
      <c r="E245" s="10" t="str">
        <f>HYPERLINK("https://twitter.com/jafspar/status/1071112582059171840","1071112582059171840")</f>
        <v>1071112582059171840</v>
      </c>
      <c r="F245" s="13" t="s">
        <v>865</v>
      </c>
      <c r="G245" s="11"/>
      <c r="H245" s="11"/>
      <c r="I245" s="14">
        <v>2</v>
      </c>
      <c r="J245" s="14">
        <v>2</v>
      </c>
      <c r="K245" s="15" t="str">
        <f t="shared" si="38"/>
        <v>Twitter for Android</v>
      </c>
      <c r="L245" s="14">
        <v>1945</v>
      </c>
      <c r="M245" s="14">
        <v>2533</v>
      </c>
      <c r="N245" s="14">
        <v>39</v>
      </c>
      <c r="O245" s="16"/>
      <c r="P245" s="6">
        <v>41838.489317129628</v>
      </c>
      <c r="Q245" s="12" t="s">
        <v>866</v>
      </c>
      <c r="R245" s="17" t="s">
        <v>867</v>
      </c>
      <c r="S245" s="11"/>
      <c r="T245" s="11"/>
      <c r="U245" s="10" t="str">
        <f>HYPERLINK("https://pbs.twimg.com/profile_images/949745194609643520/lBfPvgHZ.jpg","View")</f>
        <v>View</v>
      </c>
    </row>
    <row r="246" spans="1:21" ht="51">
      <c r="A246" s="6">
        <v>43441.820405092592</v>
      </c>
      <c r="B246" s="7" t="str">
        <f>HYPERLINK("https://twitter.com/irra39","@irra39")</f>
        <v>@irra39</v>
      </c>
      <c r="C246" s="8" t="s">
        <v>870</v>
      </c>
      <c r="D246" s="9" t="s">
        <v>871</v>
      </c>
      <c r="E246" s="10" t="str">
        <f>HYPERLINK("https://twitter.com/irra39/status/1071112451855446016","1071112451855446016")</f>
        <v>1071112451855446016</v>
      </c>
      <c r="F246" s="11"/>
      <c r="G246" s="11"/>
      <c r="H246" s="11"/>
      <c r="I246" s="14">
        <v>0</v>
      </c>
      <c r="J246" s="14">
        <v>1</v>
      </c>
      <c r="K246" s="15" t="str">
        <f t="shared" si="38"/>
        <v>Twitter for Android</v>
      </c>
      <c r="L246" s="14">
        <v>214</v>
      </c>
      <c r="M246" s="14">
        <v>319</v>
      </c>
      <c r="N246" s="14">
        <v>3</v>
      </c>
      <c r="O246" s="16"/>
      <c r="P246" s="6">
        <v>40453.891134259262</v>
      </c>
      <c r="Q246" s="12" t="s">
        <v>874</v>
      </c>
      <c r="R246" s="17" t="s">
        <v>876</v>
      </c>
      <c r="S246" s="13" t="s">
        <v>878</v>
      </c>
      <c r="T246" s="11"/>
      <c r="U246" s="10" t="str">
        <f>HYPERLINK("https://pbs.twimg.com/profile_images/1035905581851332610/WwTKNIYE.jpg","View")</f>
        <v>View</v>
      </c>
    </row>
    <row r="247" spans="1:21" ht="40.799999999999997">
      <c r="A247" s="6">
        <v>43441.820347222223</v>
      </c>
      <c r="B247" s="7" t="str">
        <f>HYPERLINK("https://twitter.com/squalus","@squalus")</f>
        <v>@squalus</v>
      </c>
      <c r="C247" s="8" t="s">
        <v>883</v>
      </c>
      <c r="D247" s="9" t="s">
        <v>863</v>
      </c>
      <c r="E247" s="10" t="str">
        <f>HYPERLINK("https://twitter.com/squalus/status/1071112430963621888","1071112430963621888")</f>
        <v>1071112430963621888</v>
      </c>
      <c r="F247" s="13" t="s">
        <v>865</v>
      </c>
      <c r="G247" s="11"/>
      <c r="H247" s="11"/>
      <c r="I247" s="14">
        <v>1</v>
      </c>
      <c r="J247" s="14">
        <v>2</v>
      </c>
      <c r="K247" s="15" t="str">
        <f t="shared" si="38"/>
        <v>Twitter for Android</v>
      </c>
      <c r="L247" s="14">
        <v>4367</v>
      </c>
      <c r="M247" s="14">
        <v>4965</v>
      </c>
      <c r="N247" s="14">
        <v>80</v>
      </c>
      <c r="O247" s="16"/>
      <c r="P247" s="6">
        <v>40617.52553240741</v>
      </c>
      <c r="Q247" s="12" t="s">
        <v>887</v>
      </c>
      <c r="R247" s="17" t="s">
        <v>888</v>
      </c>
      <c r="S247" s="11"/>
      <c r="T247" s="11"/>
      <c r="U247" s="10" t="str">
        <f>HYPERLINK("https://pbs.twimg.com/profile_images/1047219996827537408/8Tg7CQdT.jpg","View")</f>
        <v>View</v>
      </c>
    </row>
    <row r="248" spans="1:21" ht="51">
      <c r="A248" s="6">
        <v>43441.810543981483</v>
      </c>
      <c r="B248" s="7" t="str">
        <f>HYPERLINK("https://twitter.com/CiudadanosCs","@CiudadanosCs")</f>
        <v>@CiudadanosCs</v>
      </c>
      <c r="C248" s="8" t="s">
        <v>489</v>
      </c>
      <c r="D248" s="9" t="s">
        <v>891</v>
      </c>
      <c r="E248" s="10" t="str">
        <f>HYPERLINK("https://twitter.com/CiudadanosCs/status/1071108876370616322","1071108876370616322")</f>
        <v>1071108876370616322</v>
      </c>
      <c r="F248" s="11"/>
      <c r="G248" s="13" t="s">
        <v>892</v>
      </c>
      <c r="H248" s="11"/>
      <c r="I248" s="14">
        <v>123</v>
      </c>
      <c r="J248" s="14">
        <v>207</v>
      </c>
      <c r="K248" s="15" t="str">
        <f>HYPERLINK("http://twitter.com","Twitter Web Client")</f>
        <v>Twitter Web Client</v>
      </c>
      <c r="L248" s="14">
        <v>490821</v>
      </c>
      <c r="M248" s="14">
        <v>93557</v>
      </c>
      <c r="N248" s="14">
        <v>3338</v>
      </c>
      <c r="O248" s="19" t="s">
        <v>42</v>
      </c>
      <c r="P248" s="6">
        <v>39828.753460648149</v>
      </c>
      <c r="Q248" s="12" t="s">
        <v>137</v>
      </c>
      <c r="R248" s="17" t="s">
        <v>492</v>
      </c>
      <c r="S248" s="13" t="s">
        <v>493</v>
      </c>
      <c r="T248" s="11"/>
      <c r="U248" s="10" t="str">
        <f>HYPERLINK("https://pbs.twimg.com/profile_images/1053554096161075200/1z77_zBZ.jpg","View")</f>
        <v>View</v>
      </c>
    </row>
    <row r="249" spans="1:21" ht="51">
      <c r="A249" s="6">
        <v>43441.807870370365</v>
      </c>
      <c r="B249" s="7" t="str">
        <f t="shared" ref="B249:B250" si="39">HYPERLINK("https://twitter.com/AfectadosAIDA","@AfectadosAIDA")</f>
        <v>@AfectadosAIDA</v>
      </c>
      <c r="C249" s="8" t="s">
        <v>893</v>
      </c>
      <c r="D249" s="9" t="s">
        <v>894</v>
      </c>
      <c r="E249" s="10" t="str">
        <f>HYPERLINK("https://twitter.com/AfectadosAIDA/status/1071107907415093249","1071107907415093249")</f>
        <v>1071107907415093249</v>
      </c>
      <c r="F249" s="11"/>
      <c r="G249" s="11"/>
      <c r="H249" s="11"/>
      <c r="I249" s="14">
        <v>4</v>
      </c>
      <c r="J249" s="14">
        <v>4</v>
      </c>
      <c r="K249" s="15" t="str">
        <f t="shared" ref="K249:K250" si="40">HYPERLINK("https://mobile.twitter.com","Twitter Lite")</f>
        <v>Twitter Lite</v>
      </c>
      <c r="L249" s="14">
        <v>1991</v>
      </c>
      <c r="M249" s="14">
        <v>5001</v>
      </c>
      <c r="N249" s="14">
        <v>8</v>
      </c>
      <c r="O249" s="16"/>
      <c r="P249" s="6">
        <v>43142.501956018517</v>
      </c>
      <c r="Q249" s="12" t="s">
        <v>449</v>
      </c>
      <c r="R249" s="17" t="s">
        <v>900</v>
      </c>
      <c r="S249" s="13" t="s">
        <v>901</v>
      </c>
      <c r="T249" s="11"/>
      <c r="U249" s="10" t="str">
        <f t="shared" ref="U249:U250" si="41">HYPERLINK("https://pbs.twimg.com/profile_images/962650498796048384/RCQ9UHT6.jpg","View")</f>
        <v>View</v>
      </c>
    </row>
    <row r="250" spans="1:21" ht="61.2">
      <c r="A250" s="6">
        <v>43441.800752314812</v>
      </c>
      <c r="B250" s="7" t="str">
        <f t="shared" si="39"/>
        <v>@AfectadosAIDA</v>
      </c>
      <c r="C250" s="8" t="s">
        <v>893</v>
      </c>
      <c r="D250" s="9" t="s">
        <v>902</v>
      </c>
      <c r="E250" s="10" t="str">
        <f>HYPERLINK("https://twitter.com/AfectadosAIDA/status/1071105330367598592","1071105330367598592")</f>
        <v>1071105330367598592</v>
      </c>
      <c r="F250" s="11"/>
      <c r="G250" s="11"/>
      <c r="H250" s="11"/>
      <c r="I250" s="14">
        <v>2</v>
      </c>
      <c r="J250" s="14">
        <v>2</v>
      </c>
      <c r="K250" s="15" t="str">
        <f t="shared" si="40"/>
        <v>Twitter Lite</v>
      </c>
      <c r="L250" s="14">
        <v>1991</v>
      </c>
      <c r="M250" s="14">
        <v>5001</v>
      </c>
      <c r="N250" s="14">
        <v>8</v>
      </c>
      <c r="O250" s="16"/>
      <c r="P250" s="6">
        <v>43142.501956018517</v>
      </c>
      <c r="Q250" s="12" t="s">
        <v>449</v>
      </c>
      <c r="R250" s="17" t="s">
        <v>900</v>
      </c>
      <c r="S250" s="13" t="s">
        <v>901</v>
      </c>
      <c r="T250" s="11"/>
      <c r="U250" s="10" t="str">
        <f t="shared" si="41"/>
        <v>View</v>
      </c>
    </row>
    <row r="251" spans="1:21" ht="30.6">
      <c r="A251" s="6">
        <v>43441.796527777777</v>
      </c>
      <c r="B251" s="7" t="str">
        <f>HYPERLINK("https://twitter.com/ElHuffPost","@ElHuffPost")</f>
        <v>@ElHuffPost</v>
      </c>
      <c r="C251" s="8" t="s">
        <v>114</v>
      </c>
      <c r="D251" s="9" t="s">
        <v>1218</v>
      </c>
      <c r="E251" s="10" t="str">
        <f>HYPERLINK("https://twitter.com/ElHuffPost/status/1071103798536327168","1071103798536327168")</f>
        <v>1071103798536327168</v>
      </c>
      <c r="F251" s="13" t="s">
        <v>1119</v>
      </c>
      <c r="G251" s="11"/>
      <c r="H251" s="11"/>
      <c r="I251" s="14">
        <v>4</v>
      </c>
      <c r="J251" s="14">
        <v>7</v>
      </c>
      <c r="K251" s="15" t="str">
        <f>HYPERLINK("https://about.twitter.com/products/tweetdeck","TweetDeck")</f>
        <v>TweetDeck</v>
      </c>
      <c r="L251" s="14">
        <v>431182</v>
      </c>
      <c r="M251" s="14">
        <v>1551</v>
      </c>
      <c r="N251" s="14">
        <v>8205</v>
      </c>
      <c r="O251" s="19" t="s">
        <v>42</v>
      </c>
      <c r="P251" s="6">
        <v>40785.027118055557</v>
      </c>
      <c r="Q251" s="12" t="s">
        <v>119</v>
      </c>
      <c r="R251" s="17" t="s">
        <v>120</v>
      </c>
      <c r="S251" s="13" t="s">
        <v>121</v>
      </c>
      <c r="T251" s="11"/>
      <c r="U251" s="10" t="str">
        <f>HYPERLINK("https://pbs.twimg.com/profile_images/921140803422089217/ETOEUOAx.jpg","View")</f>
        <v>View</v>
      </c>
    </row>
    <row r="252" spans="1:21" ht="40.799999999999997">
      <c r="A252" s="6">
        <v>43441.795219907406</v>
      </c>
      <c r="B252" s="7" t="str">
        <f>HYPERLINK("https://twitter.com/migupelo2","@migupelo2")</f>
        <v>@migupelo2</v>
      </c>
      <c r="C252" s="8" t="s">
        <v>907</v>
      </c>
      <c r="D252" s="9" t="s">
        <v>908</v>
      </c>
      <c r="E252" s="10" t="str">
        <f>HYPERLINK("https://twitter.com/migupelo2/status/1071103326270431232","1071103326270431232")</f>
        <v>1071103326270431232</v>
      </c>
      <c r="F252" s="13" t="s">
        <v>912</v>
      </c>
      <c r="G252" s="11"/>
      <c r="H252" s="11"/>
      <c r="I252" s="14">
        <v>0</v>
      </c>
      <c r="J252" s="14">
        <v>0</v>
      </c>
      <c r="K252" s="15" t="str">
        <f>HYPERLINK("http://twitter.com","Twitter Web Client")</f>
        <v>Twitter Web Client</v>
      </c>
      <c r="L252" s="14">
        <v>266</v>
      </c>
      <c r="M252" s="14">
        <v>771</v>
      </c>
      <c r="N252" s="14">
        <v>18</v>
      </c>
      <c r="O252" s="16"/>
      <c r="P252" s="6">
        <v>40477.868043981478</v>
      </c>
      <c r="Q252" s="11"/>
      <c r="R252" s="17" t="s">
        <v>914</v>
      </c>
      <c r="S252" s="11"/>
      <c r="T252" s="11"/>
      <c r="U252" s="10" t="str">
        <f>HYPERLINK("https://pbs.twimg.com/profile_images/2906316440/4ed1570f50fd6f70f1b28d458997dd81.jpeg","View")</f>
        <v>View</v>
      </c>
    </row>
    <row r="253" spans="1:21" ht="30.6">
      <c r="A253" s="6">
        <v>43441.791087962964</v>
      </c>
      <c r="B253" s="7" t="str">
        <f>HYPERLINK("https://twitter.com/negativo_stats","@negativo_stats")</f>
        <v>@negativo_stats</v>
      </c>
      <c r="C253" s="8" t="s">
        <v>171</v>
      </c>
      <c r="D253" s="9" t="s">
        <v>915</v>
      </c>
      <c r="E253" s="10" t="str">
        <f>HYPERLINK("https://twitter.com/negativo_stats/status/1071101827243012097","1071101827243012097")</f>
        <v>1071101827243012097</v>
      </c>
      <c r="F253" s="11"/>
      <c r="G253" s="13" t="s">
        <v>918</v>
      </c>
      <c r="H253" s="11"/>
      <c r="I253" s="14">
        <v>0</v>
      </c>
      <c r="J253" s="14">
        <v>0</v>
      </c>
      <c r="K253" s="15" t="str">
        <f>HYPERLINK("http://kosmonautica.es","Política Negativa")</f>
        <v>Política Negativa</v>
      </c>
      <c r="L253" s="14">
        <v>268</v>
      </c>
      <c r="M253" s="14">
        <v>788</v>
      </c>
      <c r="N253" s="14">
        <v>2</v>
      </c>
      <c r="O253" s="16"/>
      <c r="P253" s="6">
        <v>42171.770601851851</v>
      </c>
      <c r="Q253" s="12" t="s">
        <v>60</v>
      </c>
      <c r="R253" s="17" t="s">
        <v>174</v>
      </c>
      <c r="S253" s="11"/>
      <c r="T253" s="11"/>
      <c r="U253" s="10" t="str">
        <f>HYPERLINK("https://pbs.twimg.com/profile_images/628553625984438272/e-VHyhP1.png","View")</f>
        <v>View</v>
      </c>
    </row>
    <row r="254" spans="1:21" ht="30.6">
      <c r="A254" s="6">
        <v>43441.786597222221</v>
      </c>
      <c r="B254" s="7" t="str">
        <f>HYPERLINK("https://twitter.com/PerGarriga","@PerGarriga")</f>
        <v>@PerGarriga</v>
      </c>
      <c r="C254" s="8" t="s">
        <v>1234</v>
      </c>
      <c r="D254" s="9" t="s">
        <v>1235</v>
      </c>
      <c r="E254" s="10" t="str">
        <f>HYPERLINK("https://twitter.com/PerGarriga/status/1071100201463619587","1071100201463619587")</f>
        <v>1071100201463619587</v>
      </c>
      <c r="F254" s="11"/>
      <c r="G254" s="13" t="s">
        <v>1237</v>
      </c>
      <c r="H254" s="11"/>
      <c r="I254" s="14">
        <v>4</v>
      </c>
      <c r="J254" s="14">
        <v>7</v>
      </c>
      <c r="K254" s="15" t="str">
        <f>HYPERLINK("http://twitter.com/download/android","Twitter for Android")</f>
        <v>Twitter for Android</v>
      </c>
      <c r="L254" s="14">
        <v>6259</v>
      </c>
      <c r="M254" s="14">
        <v>4858</v>
      </c>
      <c r="N254" s="14">
        <v>101</v>
      </c>
      <c r="O254" s="16"/>
      <c r="P254" s="6">
        <v>40547.582314814819</v>
      </c>
      <c r="Q254" s="11"/>
      <c r="R254" s="17" t="s">
        <v>1240</v>
      </c>
      <c r="S254" s="13" t="s">
        <v>1241</v>
      </c>
      <c r="T254" s="11"/>
      <c r="U254" s="10" t="str">
        <f>HYPERLINK("https://pbs.twimg.com/profile_images/1065999932295913472/sM2RoYLK.jpg","View")</f>
        <v>View</v>
      </c>
    </row>
    <row r="255" spans="1:21" ht="40.799999999999997">
      <c r="A255" s="6">
        <v>43441.78628472222</v>
      </c>
      <c r="B255" s="7" t="str">
        <f>HYPERLINK("https://twitter.com/Gallato7","@Gallato7")</f>
        <v>@Gallato7</v>
      </c>
      <c r="C255" s="8" t="s">
        <v>923</v>
      </c>
      <c r="D255" s="9" t="s">
        <v>924</v>
      </c>
      <c r="E255" s="10" t="str">
        <f>HYPERLINK("https://twitter.com/Gallato7/status/1071100086174785536","1071100086174785536")</f>
        <v>1071100086174785536</v>
      </c>
      <c r="F255" s="13" t="s">
        <v>925</v>
      </c>
      <c r="G255" s="13" t="s">
        <v>926</v>
      </c>
      <c r="H255" s="11"/>
      <c r="I255" s="14">
        <v>71</v>
      </c>
      <c r="J255" s="14">
        <v>73</v>
      </c>
      <c r="K255" s="15" t="str">
        <f>HYPERLINK("http://twitter.com","Twitter Web Client")</f>
        <v>Twitter Web Client</v>
      </c>
      <c r="L255" s="14">
        <v>5854</v>
      </c>
      <c r="M255" s="14">
        <v>374</v>
      </c>
      <c r="N255" s="14">
        <v>65</v>
      </c>
      <c r="O255" s="16"/>
      <c r="P255" s="6">
        <v>41389.549270833333</v>
      </c>
      <c r="Q255" s="12" t="s">
        <v>927</v>
      </c>
      <c r="R255" s="17" t="s">
        <v>928</v>
      </c>
      <c r="S255" s="13" t="s">
        <v>929</v>
      </c>
      <c r="T255" s="11"/>
      <c r="U255" s="10" t="str">
        <f>HYPERLINK("https://pbs.twimg.com/profile_images/907359993682374656/hxYWjP_Z.jpg","View")</f>
        <v>View</v>
      </c>
    </row>
    <row r="256" spans="1:21" ht="51">
      <c r="A256" s="6">
        <v>43441.780601851853</v>
      </c>
      <c r="B256" s="7" t="str">
        <f>HYPERLINK("https://twitter.com/0Realista3","@0Realista3")</f>
        <v>@0Realista3</v>
      </c>
      <c r="C256" s="8" t="s">
        <v>469</v>
      </c>
      <c r="D256" s="9" t="s">
        <v>930</v>
      </c>
      <c r="E256" s="10" t="str">
        <f>HYPERLINK("https://twitter.com/0Realista3/status/1071098028826783746","1071098028826783746")</f>
        <v>1071098028826783746</v>
      </c>
      <c r="F256" s="11"/>
      <c r="G256" s="11"/>
      <c r="H256" s="11"/>
      <c r="I256" s="14">
        <v>0</v>
      </c>
      <c r="J256" s="14">
        <v>0</v>
      </c>
      <c r="K256" s="15" t="str">
        <f t="shared" ref="K256:K257" si="42">HYPERLINK("http://twitter.com/download/android","Twitter for Android")</f>
        <v>Twitter for Android</v>
      </c>
      <c r="L256" s="14">
        <v>142</v>
      </c>
      <c r="M256" s="14">
        <v>183</v>
      </c>
      <c r="N256" s="14">
        <v>4</v>
      </c>
      <c r="O256" s="16"/>
      <c r="P256" s="6">
        <v>43321.979270833333</v>
      </c>
      <c r="Q256" s="11"/>
      <c r="R256" s="18"/>
      <c r="S256" s="11"/>
      <c r="T256" s="11"/>
      <c r="U256" s="10" t="str">
        <f>HYPERLINK("https://pbs.twimg.com/profile_images/1027818317438959617/4exm99jw.jpg","View")</f>
        <v>View</v>
      </c>
    </row>
    <row r="257" spans="1:21" ht="30.6">
      <c r="A257" s="6">
        <v>43441.779143518521</v>
      </c>
      <c r="B257" s="7" t="str">
        <f>HYPERLINK("https://twitter.com/davo537","@davo537")</f>
        <v>@davo537</v>
      </c>
      <c r="C257" s="8" t="s">
        <v>1245</v>
      </c>
      <c r="D257" s="9" t="s">
        <v>1246</v>
      </c>
      <c r="E257" s="10" t="str">
        <f>HYPERLINK("https://twitter.com/davo537/status/1071097499207770112","1071097499207770112")</f>
        <v>1071097499207770112</v>
      </c>
      <c r="F257" s="11"/>
      <c r="G257" s="13" t="s">
        <v>1247</v>
      </c>
      <c r="H257" s="11"/>
      <c r="I257" s="14">
        <v>24</v>
      </c>
      <c r="J257" s="14">
        <v>42</v>
      </c>
      <c r="K257" s="15" t="str">
        <f t="shared" si="42"/>
        <v>Twitter for Android</v>
      </c>
      <c r="L257" s="14">
        <v>11294</v>
      </c>
      <c r="M257" s="14">
        <v>672</v>
      </c>
      <c r="N257" s="14">
        <v>119</v>
      </c>
      <c r="O257" s="16"/>
      <c r="P257" s="6">
        <v>40748.349120370374</v>
      </c>
      <c r="Q257" s="12" t="s">
        <v>1248</v>
      </c>
      <c r="R257" s="17" t="s">
        <v>1249</v>
      </c>
      <c r="S257" s="11"/>
      <c r="T257" s="11"/>
      <c r="U257" s="10" t="str">
        <f>HYPERLINK("https://pbs.twimg.com/profile_images/770550123378122752/uj7Tp4bC.jpg","View")</f>
        <v>View</v>
      </c>
    </row>
    <row r="258" spans="1:21" ht="51">
      <c r="A258" s="6">
        <v>43441.779108796298</v>
      </c>
      <c r="B258" s="7" t="str">
        <f>HYPERLINK("https://twitter.com/ToniTerminator","@ToniTerminator")</f>
        <v>@ToniTerminator</v>
      </c>
      <c r="C258" s="8" t="s">
        <v>931</v>
      </c>
      <c r="D258" s="9" t="s">
        <v>39</v>
      </c>
      <c r="E258" s="10" t="str">
        <f>HYPERLINK("https://twitter.com/ToniTerminator/status/1071097484909445120","1071097484909445120")</f>
        <v>1071097484909445120</v>
      </c>
      <c r="F258" s="13" t="s">
        <v>932</v>
      </c>
      <c r="G258" s="11"/>
      <c r="H258" s="11"/>
      <c r="I258" s="14">
        <v>0</v>
      </c>
      <c r="J258" s="14">
        <v>0</v>
      </c>
      <c r="K258" s="15" t="str">
        <f>HYPERLINK("http://twitter.com","Twitter Web Client")</f>
        <v>Twitter Web Client</v>
      </c>
      <c r="L258" s="14">
        <v>1293</v>
      </c>
      <c r="M258" s="14">
        <v>982</v>
      </c>
      <c r="N258" s="14">
        <v>18</v>
      </c>
      <c r="O258" s="16"/>
      <c r="P258" s="6">
        <v>40339.928726851853</v>
      </c>
      <c r="Q258" s="11"/>
      <c r="R258" s="17" t="s">
        <v>933</v>
      </c>
      <c r="S258" s="11"/>
      <c r="T258" s="11"/>
      <c r="U258" s="10" t="str">
        <f>HYPERLINK("https://pbs.twimg.com/profile_images/1026155942835089408/DUfkCwe5.jpg","View")</f>
        <v>View</v>
      </c>
    </row>
    <row r="259" spans="1:21" ht="51">
      <c r="A259" s="6">
        <v>43441.778587962966</v>
      </c>
      <c r="B259" s="7" t="str">
        <f>HYPERLINK("https://twitter.com/jcarlosmendi","@jcarlosmendi")</f>
        <v>@jcarlosmendi</v>
      </c>
      <c r="C259" s="8" t="s">
        <v>1253</v>
      </c>
      <c r="D259" s="9" t="s">
        <v>1254</v>
      </c>
      <c r="E259" s="10" t="str">
        <f>HYPERLINK("https://twitter.com/jcarlosmendi/status/1071097297570856960","1071097297570856960")</f>
        <v>1071097297570856960</v>
      </c>
      <c r="F259" s="13" t="s">
        <v>1156</v>
      </c>
      <c r="G259" s="13" t="s">
        <v>1159</v>
      </c>
      <c r="H259" s="11"/>
      <c r="I259" s="14">
        <v>2</v>
      </c>
      <c r="J259" s="14">
        <v>1</v>
      </c>
      <c r="K259" s="15" t="str">
        <f>HYPERLINK("http://twitter.com/download/android","Twitter for Android")</f>
        <v>Twitter for Android</v>
      </c>
      <c r="L259" s="14">
        <v>418</v>
      </c>
      <c r="M259" s="14">
        <v>719</v>
      </c>
      <c r="N259" s="14">
        <v>27</v>
      </c>
      <c r="O259" s="16"/>
      <c r="P259" s="6">
        <v>40162.493368055555</v>
      </c>
      <c r="Q259" s="12" t="s">
        <v>1258</v>
      </c>
      <c r="R259" s="17" t="s">
        <v>1259</v>
      </c>
      <c r="S259" s="11"/>
      <c r="T259" s="11"/>
      <c r="U259" s="10" t="str">
        <f>HYPERLINK("https://pbs.twimg.com/profile_images/1539627839/Aita.PNG","View")</f>
        <v>View</v>
      </c>
    </row>
    <row r="260" spans="1:21" ht="40.799999999999997">
      <c r="A260" s="6">
        <v>43441.777129629627</v>
      </c>
      <c r="B260" s="7" t="str">
        <f>HYPERLINK("https://twitter.com/Ismaelescuincs","@Ismaelescuincs")</f>
        <v>@Ismaelescuincs</v>
      </c>
      <c r="C260" s="8" t="s">
        <v>937</v>
      </c>
      <c r="D260" s="9" t="s">
        <v>938</v>
      </c>
      <c r="E260" s="10" t="str">
        <f>HYPERLINK("https://twitter.com/Ismaelescuincs/status/1071096770015490048","1071096770015490048")</f>
        <v>1071096770015490048</v>
      </c>
      <c r="F260" s="11"/>
      <c r="G260" s="13" t="s">
        <v>944</v>
      </c>
      <c r="H260" s="11"/>
      <c r="I260" s="14">
        <v>58</v>
      </c>
      <c r="J260" s="14">
        <v>65</v>
      </c>
      <c r="K260" s="15" t="str">
        <f>HYPERLINK("http://twitter.com/download/iphone","Twitter for iPhone")</f>
        <v>Twitter for iPhone</v>
      </c>
      <c r="L260" s="14">
        <v>1138</v>
      </c>
      <c r="M260" s="14">
        <v>1215</v>
      </c>
      <c r="N260" s="14">
        <v>1</v>
      </c>
      <c r="O260" s="16"/>
      <c r="P260" s="6">
        <v>43085.040821759263</v>
      </c>
      <c r="Q260" s="12" t="s">
        <v>946</v>
      </c>
      <c r="R260" s="17" t="s">
        <v>948</v>
      </c>
      <c r="S260" s="13" t="s">
        <v>950</v>
      </c>
      <c r="T260" s="11"/>
      <c r="U260" s="10" t="str">
        <f>HYPERLINK("https://pbs.twimg.com/profile_images/1041730517530492928/JLvy_OFv.jpg","View")</f>
        <v>View</v>
      </c>
    </row>
    <row r="261" spans="1:21" ht="40.799999999999997">
      <c r="A261" s="6">
        <v>43441.776249999995</v>
      </c>
      <c r="B261" s="7" t="str">
        <f>HYPERLINK("https://twitter.com/btxcgnbv","@btxcgnbv")</f>
        <v>@btxcgnbv</v>
      </c>
      <c r="C261" s="8" t="s">
        <v>1260</v>
      </c>
      <c r="D261" s="9" t="s">
        <v>1261</v>
      </c>
      <c r="E261" s="10" t="str">
        <f>HYPERLINK("https://twitter.com/btxcgnbv/status/1071096451994918919","1071096451994918919")</f>
        <v>1071096451994918919</v>
      </c>
      <c r="F261" s="13" t="s">
        <v>1262</v>
      </c>
      <c r="G261" s="11"/>
      <c r="H261" s="11"/>
      <c r="I261" s="14">
        <v>0</v>
      </c>
      <c r="J261" s="14">
        <v>0</v>
      </c>
      <c r="K261" s="15" t="str">
        <f>HYPERLINK("https://buffer.com","Buffer")</f>
        <v>Buffer</v>
      </c>
      <c r="L261" s="14">
        <v>2555</v>
      </c>
      <c r="M261" s="14">
        <v>5001</v>
      </c>
      <c r="N261" s="14">
        <v>128</v>
      </c>
      <c r="O261" s="16"/>
      <c r="P261" s="6">
        <v>40694.039606481485</v>
      </c>
      <c r="Q261" s="11"/>
      <c r="R261" s="17" t="s">
        <v>1263</v>
      </c>
      <c r="S261" s="11"/>
      <c r="T261" s="11"/>
      <c r="U261" s="10" t="str">
        <f>HYPERLINK("https://pbs.twimg.com/profile_images/971885586696097792/hAF3pjtj.jpg","View")</f>
        <v>View</v>
      </c>
    </row>
    <row r="262" spans="1:21" ht="51">
      <c r="A262" s="6">
        <v>43441.774664351848</v>
      </c>
      <c r="B262" s="7" t="str">
        <f>HYPERLINK("https://twitter.com/FranGlezSosa","@FranGlezSosa")</f>
        <v>@FranGlezSosa</v>
      </c>
      <c r="C262" s="8" t="s">
        <v>1266</v>
      </c>
      <c r="D262" s="9" t="s">
        <v>1267</v>
      </c>
      <c r="E262" s="10" t="str">
        <f>HYPERLINK("https://twitter.com/FranGlezSosa/status/1071095875135569920","1071095875135569920")</f>
        <v>1071095875135569920</v>
      </c>
      <c r="F262" s="11"/>
      <c r="G262" s="11"/>
      <c r="H262" s="11"/>
      <c r="I262" s="14">
        <v>1</v>
      </c>
      <c r="J262" s="14">
        <v>2</v>
      </c>
      <c r="K262" s="15" t="str">
        <f t="shared" ref="K262:K263" si="43">HYPERLINK("http://twitter.com/download/android","Twitter for Android")</f>
        <v>Twitter for Android</v>
      </c>
      <c r="L262" s="14">
        <v>1492</v>
      </c>
      <c r="M262" s="14">
        <v>3196</v>
      </c>
      <c r="N262" s="14">
        <v>21</v>
      </c>
      <c r="O262" s="16"/>
      <c r="P262" s="6">
        <v>40807.797037037039</v>
      </c>
      <c r="Q262" s="12" t="s">
        <v>1268</v>
      </c>
      <c r="R262" s="17" t="s">
        <v>1269</v>
      </c>
      <c r="S262" s="13" t="s">
        <v>1270</v>
      </c>
      <c r="T262" s="11"/>
      <c r="U262" s="10" t="str">
        <f>HYPERLINK("https://pbs.twimg.com/profile_images/1015714476455333889/lsb3iAQe.jpg","View")</f>
        <v>View</v>
      </c>
    </row>
    <row r="263" spans="1:21" ht="20.399999999999999">
      <c r="A263" s="6">
        <v>43441.773495370369</v>
      </c>
      <c r="B263" s="7" t="str">
        <f>HYPERLINK("https://twitter.com/AdriEmw","@AdriEmw")</f>
        <v>@AdriEmw</v>
      </c>
      <c r="C263" s="8" t="s">
        <v>461</v>
      </c>
      <c r="D263" s="9" t="s">
        <v>1274</v>
      </c>
      <c r="E263" s="10" t="str">
        <f>HYPERLINK("https://twitter.com/AdriEmw/status/1071095452932694016","1071095452932694016")</f>
        <v>1071095452932694016</v>
      </c>
      <c r="F263" s="11"/>
      <c r="G263" s="11"/>
      <c r="H263" s="11"/>
      <c r="I263" s="14">
        <v>0</v>
      </c>
      <c r="J263" s="14">
        <v>0</v>
      </c>
      <c r="K263" s="15" t="str">
        <f t="shared" si="43"/>
        <v>Twitter for Android</v>
      </c>
      <c r="L263" s="14">
        <v>693</v>
      </c>
      <c r="M263" s="14">
        <v>411</v>
      </c>
      <c r="N263" s="14">
        <v>16</v>
      </c>
      <c r="O263" s="16"/>
      <c r="P263" s="6">
        <v>41019.750555555554</v>
      </c>
      <c r="Q263" s="12" t="s">
        <v>1278</v>
      </c>
      <c r="R263" s="17" t="s">
        <v>1279</v>
      </c>
      <c r="S263" s="13" t="s">
        <v>1280</v>
      </c>
      <c r="T263" s="11"/>
      <c r="U263" s="10" t="str">
        <f>HYPERLINK("https://pbs.twimg.com/profile_images/1067134185339527168/WqJ-6thS.jpg","View")</f>
        <v>View</v>
      </c>
    </row>
    <row r="264" spans="1:21" ht="40.799999999999997">
      <c r="A264" s="6">
        <v>43441.772986111115</v>
      </c>
      <c r="B264" s="7" t="str">
        <f>HYPERLINK("https://twitter.com/EstTartessica","@EstTartessica")</f>
        <v>@EstTartessica</v>
      </c>
      <c r="C264" s="20" t="s">
        <v>951</v>
      </c>
      <c r="D264" s="9" t="s">
        <v>952</v>
      </c>
      <c r="E264" s="10" t="str">
        <f>HYPERLINK("https://twitter.com/EstTartessica/status/1071095266860810240","1071095266860810240")</f>
        <v>1071095266860810240</v>
      </c>
      <c r="F264" s="13" t="s">
        <v>953</v>
      </c>
      <c r="G264" s="11"/>
      <c r="H264" s="11"/>
      <c r="I264" s="14">
        <v>0</v>
      </c>
      <c r="J264" s="14">
        <v>0</v>
      </c>
      <c r="K264" s="15" t="str">
        <f>HYPERLINK("https://mobile.twitter.com","Twitter Lite")</f>
        <v>Twitter Lite</v>
      </c>
      <c r="L264" s="14">
        <v>297</v>
      </c>
      <c r="M264" s="14">
        <v>906</v>
      </c>
      <c r="N264" s="14">
        <v>1</v>
      </c>
      <c r="O264" s="16"/>
      <c r="P264" s="6">
        <v>43267.836319444439</v>
      </c>
      <c r="Q264" s="11"/>
      <c r="R264" s="17" t="s">
        <v>954</v>
      </c>
      <c r="S264" s="11"/>
      <c r="T264" s="11"/>
      <c r="U264" s="10" t="str">
        <f>HYPERLINK("https://pbs.twimg.com/profile_images/1069354805750042624/3HNj9_X0.jpg","View")</f>
        <v>View</v>
      </c>
    </row>
    <row r="265" spans="1:21" ht="30.6">
      <c r="A265" s="6">
        <v>43441.772361111114</v>
      </c>
      <c r="B265" s="7" t="str">
        <f>HYPERLINK("https://twitter.com/davo537","@davo537")</f>
        <v>@davo537</v>
      </c>
      <c r="C265" s="8" t="s">
        <v>1245</v>
      </c>
      <c r="D265" s="9" t="s">
        <v>1284</v>
      </c>
      <c r="E265" s="10" t="str">
        <f>HYPERLINK("https://twitter.com/davo537/status/1071095040376750089","1071095040376750089")</f>
        <v>1071095040376750089</v>
      </c>
      <c r="F265" s="11"/>
      <c r="G265" s="11"/>
      <c r="H265" s="11"/>
      <c r="I265" s="14">
        <v>6</v>
      </c>
      <c r="J265" s="14">
        <v>14</v>
      </c>
      <c r="K265" s="15" t="str">
        <f>HYPERLINK("http://twitter.com/download/android","Twitter for Android")</f>
        <v>Twitter for Android</v>
      </c>
      <c r="L265" s="14">
        <v>11294</v>
      </c>
      <c r="M265" s="14">
        <v>672</v>
      </c>
      <c r="N265" s="14">
        <v>119</v>
      </c>
      <c r="O265" s="16"/>
      <c r="P265" s="6">
        <v>40748.349120370374</v>
      </c>
      <c r="Q265" s="12" t="s">
        <v>1248</v>
      </c>
      <c r="R265" s="17" t="s">
        <v>1249</v>
      </c>
      <c r="S265" s="11"/>
      <c r="T265" s="11"/>
      <c r="U265" s="10" t="str">
        <f>HYPERLINK("https://pbs.twimg.com/profile_images/770550123378122752/uj7Tp4bC.jpg","View")</f>
        <v>View</v>
      </c>
    </row>
    <row r="266" spans="1:21" ht="30.6">
      <c r="A266" s="6">
        <v>43441.772129629629</v>
      </c>
      <c r="B266" s="7" t="str">
        <f>HYPERLINK("https://twitter.com/InmacVega","@InmacVega")</f>
        <v>@InmacVega</v>
      </c>
      <c r="C266" s="8" t="s">
        <v>1288</v>
      </c>
      <c r="D266" s="9" t="s">
        <v>1289</v>
      </c>
      <c r="E266" s="10" t="str">
        <f>HYPERLINK("https://twitter.com/InmacVega/status/1071094957392478209","1071094957392478209")</f>
        <v>1071094957392478209</v>
      </c>
      <c r="F266" s="13" t="s">
        <v>228</v>
      </c>
      <c r="G266" s="11"/>
      <c r="H266" s="11"/>
      <c r="I266" s="14">
        <v>0</v>
      </c>
      <c r="J266" s="14">
        <v>0</v>
      </c>
      <c r="K266" s="15" t="str">
        <f>HYPERLINK("http://twitter.com/#!/download/ipad","Twitter for iPad")</f>
        <v>Twitter for iPad</v>
      </c>
      <c r="L266" s="14">
        <v>228</v>
      </c>
      <c r="M266" s="14">
        <v>1618</v>
      </c>
      <c r="N266" s="14">
        <v>0</v>
      </c>
      <c r="O266" s="16"/>
      <c r="P266" s="6">
        <v>40584.499513888892</v>
      </c>
      <c r="Q266" s="12" t="s">
        <v>83</v>
      </c>
      <c r="R266" s="17" t="s">
        <v>1291</v>
      </c>
      <c r="S266" s="13" t="s">
        <v>1292</v>
      </c>
      <c r="T266" s="11"/>
      <c r="U266" s="10" t="str">
        <f>HYPERLINK("https://pbs.twimg.com/profile_images/875682019795185664/WoqlCXEz.jpg","View")</f>
        <v>View</v>
      </c>
    </row>
    <row r="267" spans="1:21" ht="71.400000000000006">
      <c r="A267" s="6">
        <v>43441.755682870367</v>
      </c>
      <c r="B267" s="7" t="str">
        <f>HYPERLINK("https://twitter.com/AbogadoCIBER","@AbogadoCIBER")</f>
        <v>@AbogadoCIBER</v>
      </c>
      <c r="C267" s="8" t="s">
        <v>957</v>
      </c>
      <c r="D267" s="9" t="s">
        <v>958</v>
      </c>
      <c r="E267" s="10" t="str">
        <f>HYPERLINK("https://twitter.com/AbogadoCIBER/status/1071088999412981760","1071088999412981760")</f>
        <v>1071088999412981760</v>
      </c>
      <c r="F267" s="12" t="s">
        <v>959</v>
      </c>
      <c r="G267" s="13" t="s">
        <v>960</v>
      </c>
      <c r="H267" s="11"/>
      <c r="I267" s="14">
        <v>2</v>
      </c>
      <c r="J267" s="14">
        <v>1</v>
      </c>
      <c r="K267" s="15" t="str">
        <f t="shared" ref="K267:K268" si="44">HYPERLINK("http://twitter.com/download/android","Twitter for Android")</f>
        <v>Twitter for Android</v>
      </c>
      <c r="L267" s="14">
        <v>102</v>
      </c>
      <c r="M267" s="14">
        <v>280</v>
      </c>
      <c r="N267" s="14">
        <v>4</v>
      </c>
      <c r="O267" s="16"/>
      <c r="P267" s="6">
        <v>42901.509791666671</v>
      </c>
      <c r="Q267" s="12" t="s">
        <v>961</v>
      </c>
      <c r="R267" s="17" t="s">
        <v>962</v>
      </c>
      <c r="S267" s="13" t="s">
        <v>963</v>
      </c>
      <c r="T267" s="11"/>
      <c r="U267" s="10" t="str">
        <f>HYPERLINK("https://pbs.twimg.com/profile_images/1012640257068630016/L41Sp-ym.jpg","View")</f>
        <v>View</v>
      </c>
    </row>
    <row r="268" spans="1:21" ht="13.2">
      <c r="A268" s="6">
        <v>43441.755312499998</v>
      </c>
      <c r="B268" s="7" t="str">
        <f>HYPERLINK("https://twitter.com/NewZASTeam","@NewZASTeam")</f>
        <v>@NewZASTeam</v>
      </c>
      <c r="C268" s="8" t="s">
        <v>1295</v>
      </c>
      <c r="D268" s="9" t="s">
        <v>1296</v>
      </c>
      <c r="E268" s="10" t="str">
        <f>HYPERLINK("https://twitter.com/NewZASTeam/status/1071088864310321152","1071088864310321152")</f>
        <v>1071088864310321152</v>
      </c>
      <c r="F268" s="11"/>
      <c r="G268" s="11"/>
      <c r="H268" s="11"/>
      <c r="I268" s="14">
        <v>0</v>
      </c>
      <c r="J268" s="14">
        <v>0</v>
      </c>
      <c r="K268" s="15" t="str">
        <f t="shared" si="44"/>
        <v>Twitter for Android</v>
      </c>
      <c r="L268" s="14">
        <v>730</v>
      </c>
      <c r="M268" s="14">
        <v>802</v>
      </c>
      <c r="N268" s="14">
        <v>6</v>
      </c>
      <c r="O268" s="16"/>
      <c r="P268" s="6">
        <v>40308.694212962961</v>
      </c>
      <c r="Q268" s="12" t="s">
        <v>1298</v>
      </c>
      <c r="R268" s="17" t="s">
        <v>1299</v>
      </c>
      <c r="S268" s="13" t="s">
        <v>1300</v>
      </c>
      <c r="T268" s="11"/>
      <c r="U268" s="10" t="str">
        <f>HYPERLINK("https://pbs.twimg.com/profile_images/595932188585037824/gzUEgYRp.jpg","View")</f>
        <v>View</v>
      </c>
    </row>
    <row r="269" spans="1:21" ht="51">
      <c r="A269" s="6">
        <v>43441.751342592594</v>
      </c>
      <c r="B269" s="7" t="str">
        <f>HYPERLINK("https://twitter.com/charo_gata","@charo_gata")</f>
        <v>@charo_gata</v>
      </c>
      <c r="C269" s="8" t="s">
        <v>966</v>
      </c>
      <c r="D269" s="9" t="s">
        <v>39</v>
      </c>
      <c r="E269" s="10" t="str">
        <f>HYPERLINK("https://twitter.com/charo_gata/status/1071087424946823171","1071087424946823171")</f>
        <v>1071087424946823171</v>
      </c>
      <c r="F269" s="13" t="s">
        <v>968</v>
      </c>
      <c r="G269" s="11"/>
      <c r="H269" s="11"/>
      <c r="I269" s="14">
        <v>0</v>
      </c>
      <c r="J269" s="14">
        <v>1</v>
      </c>
      <c r="K269" s="15" t="str">
        <f t="shared" ref="K269:K270" si="45">HYPERLINK("http://twitter.com","Twitter Web Client")</f>
        <v>Twitter Web Client</v>
      </c>
      <c r="L269" s="14">
        <v>50</v>
      </c>
      <c r="M269" s="14">
        <v>258</v>
      </c>
      <c r="N269" s="14">
        <v>0</v>
      </c>
      <c r="O269" s="16"/>
      <c r="P269" s="6">
        <v>41446.788738425923</v>
      </c>
      <c r="Q269" s="12" t="s">
        <v>969</v>
      </c>
      <c r="R269" s="17" t="s">
        <v>970</v>
      </c>
      <c r="S269" s="11"/>
      <c r="T269" s="11"/>
      <c r="U269" s="10" t="str">
        <f>HYPERLINK("https://pbs.twimg.com/profile_images/378800000665840825/f2e33ee1cf0bdeb954ff61af5e07ab65.jpeg","View")</f>
        <v>View</v>
      </c>
    </row>
    <row r="270" spans="1:21" ht="20.399999999999999">
      <c r="A270" s="6">
        <v>43441.74013888889</v>
      </c>
      <c r="B270" s="7" t="str">
        <f>HYPERLINK("https://twitter.com/LAREVUELO53","@LAREVUELO53")</f>
        <v>@LAREVUELO53</v>
      </c>
      <c r="C270" s="8" t="s">
        <v>1036</v>
      </c>
      <c r="D270" s="9" t="s">
        <v>1305</v>
      </c>
      <c r="E270" s="10" t="str">
        <f>HYPERLINK("https://twitter.com/LAREVUELO53/status/1071083364592087040","1071083364592087040")</f>
        <v>1071083364592087040</v>
      </c>
      <c r="F270" s="13" t="s">
        <v>1306</v>
      </c>
      <c r="G270" s="11"/>
      <c r="H270" s="11"/>
      <c r="I270" s="14">
        <v>0</v>
      </c>
      <c r="J270" s="14">
        <v>0</v>
      </c>
      <c r="K270" s="15" t="str">
        <f t="shared" si="45"/>
        <v>Twitter Web Client</v>
      </c>
      <c r="L270" s="14">
        <v>415</v>
      </c>
      <c r="M270" s="14">
        <v>1519</v>
      </c>
      <c r="N270" s="14">
        <v>4</v>
      </c>
      <c r="O270" s="16"/>
      <c r="P270" s="6">
        <v>40681.9059375</v>
      </c>
      <c r="Q270" s="12" t="s">
        <v>621</v>
      </c>
      <c r="R270" s="18"/>
      <c r="S270" s="13" t="s">
        <v>1040</v>
      </c>
      <c r="T270" s="11"/>
      <c r="U270" s="10" t="str">
        <f>HYPERLINK("https://pbs.twimg.com/profile_images/719705597436960769/UB_JVe0J.jpg","View")</f>
        <v>View</v>
      </c>
    </row>
    <row r="271" spans="1:21" ht="20.399999999999999">
      <c r="A271" s="6">
        <v>43441.739525462966</v>
      </c>
      <c r="B271" s="7" t="str">
        <f>HYPERLINK("https://twitter.com/VidALieNs","@VidALieNs")</f>
        <v>@VidALieNs</v>
      </c>
      <c r="C271" s="8" t="s">
        <v>1307</v>
      </c>
      <c r="D271" s="9" t="s">
        <v>1308</v>
      </c>
      <c r="E271" s="10" t="str">
        <f>HYPERLINK("https://twitter.com/VidALieNs/status/1071083142956662784","1071083142956662784")</f>
        <v>1071083142956662784</v>
      </c>
      <c r="F271" s="11"/>
      <c r="G271" s="11"/>
      <c r="H271" s="11"/>
      <c r="I271" s="14">
        <v>2</v>
      </c>
      <c r="J271" s="14">
        <v>4</v>
      </c>
      <c r="K271" s="15" t="str">
        <f>HYPERLINK("http://twitter.com/download/android","Twitter for Android")</f>
        <v>Twitter for Android</v>
      </c>
      <c r="L271" s="14">
        <v>11623</v>
      </c>
      <c r="M271" s="14">
        <v>9295</v>
      </c>
      <c r="N271" s="14">
        <v>36</v>
      </c>
      <c r="O271" s="16"/>
      <c r="P271" s="6">
        <v>40767.610150462962</v>
      </c>
      <c r="Q271" s="12" t="s">
        <v>581</v>
      </c>
      <c r="R271" s="17" t="s">
        <v>1309</v>
      </c>
      <c r="S271" s="11"/>
      <c r="T271" s="11"/>
      <c r="U271" s="10" t="str">
        <f>HYPERLINK("https://pbs.twimg.com/profile_images/979309252329263105/5-ln10Cs.jpg","View")</f>
        <v>View</v>
      </c>
    </row>
    <row r="272" spans="1:21" ht="61.2">
      <c r="A272" s="6">
        <v>43441.739016203705</v>
      </c>
      <c r="B272" s="7" t="str">
        <f>HYPERLINK("https://twitter.com/jeronimoaznar","@jeronimoaznar")</f>
        <v>@jeronimoaznar</v>
      </c>
      <c r="C272" s="8" t="s">
        <v>976</v>
      </c>
      <c r="D272" s="9" t="s">
        <v>977</v>
      </c>
      <c r="E272" s="10" t="str">
        <f>HYPERLINK("https://twitter.com/jeronimoaznar/status/1071082956817661953","1071082956817661953")</f>
        <v>1071082956817661953</v>
      </c>
      <c r="F272" s="11"/>
      <c r="G272" s="13" t="s">
        <v>978</v>
      </c>
      <c r="H272" s="11"/>
      <c r="I272" s="14">
        <v>19</v>
      </c>
      <c r="J272" s="14">
        <v>10</v>
      </c>
      <c r="K272" s="15" t="str">
        <f>HYPERLINK("http://twitter.com","Twitter Web Client")</f>
        <v>Twitter Web Client</v>
      </c>
      <c r="L272" s="14">
        <v>59</v>
      </c>
      <c r="M272" s="14">
        <v>99</v>
      </c>
      <c r="N272" s="14">
        <v>0</v>
      </c>
      <c r="O272" s="16"/>
      <c r="P272" s="6">
        <v>40599.709803240738</v>
      </c>
      <c r="Q272" s="12" t="s">
        <v>979</v>
      </c>
      <c r="R272" s="18"/>
      <c r="S272" s="11"/>
      <c r="T272" s="11"/>
      <c r="U272" s="10" t="str">
        <f>HYPERLINK("https://pbs.twimg.com/profile_images/1067748687265316864/jfTgUoYF.jpg","View")</f>
        <v>View</v>
      </c>
    </row>
    <row r="273" spans="1:21" ht="20.399999999999999">
      <c r="A273" s="6">
        <v>43441.736458333333</v>
      </c>
      <c r="B273" s="7" t="str">
        <f>HYPERLINK("https://twitter.com/ForLukka","@ForLukka")</f>
        <v>@ForLukka</v>
      </c>
      <c r="C273" s="8" t="s">
        <v>1313</v>
      </c>
      <c r="D273" s="9" t="s">
        <v>1314</v>
      </c>
      <c r="E273" s="10" t="str">
        <f>HYPERLINK("https://twitter.com/ForLukka/status/1071082029582876672","1071082029582876672")</f>
        <v>1071082029582876672</v>
      </c>
      <c r="F273" s="13" t="s">
        <v>1316</v>
      </c>
      <c r="G273" s="11"/>
      <c r="H273" s="11"/>
      <c r="I273" s="14">
        <v>0</v>
      </c>
      <c r="J273" s="14">
        <v>0</v>
      </c>
      <c r="K273" s="15" t="str">
        <f>HYPERLINK("http://twitter.com/download/iphone","Twitter for iPhone")</f>
        <v>Twitter for iPhone</v>
      </c>
      <c r="L273" s="14">
        <v>380</v>
      </c>
      <c r="M273" s="14">
        <v>813</v>
      </c>
      <c r="N273" s="14">
        <v>9</v>
      </c>
      <c r="O273" s="16"/>
      <c r="P273" s="6">
        <v>42147.56349537037</v>
      </c>
      <c r="Q273" s="12" t="s">
        <v>1319</v>
      </c>
      <c r="R273" s="18"/>
      <c r="S273" s="11"/>
      <c r="T273" s="11"/>
      <c r="U273" s="10" t="str">
        <f>HYPERLINK("https://pbs.twimg.com/profile_images/946034211647033345/CTmLOsKx.jpg","View")</f>
        <v>View</v>
      </c>
    </row>
    <row r="274" spans="1:21" ht="51">
      <c r="A274" s="6">
        <v>43441.730011574073</v>
      </c>
      <c r="B274" s="7" t="str">
        <f>HYPERLINK("https://twitter.com/ibo_angel","@ibo_angel")</f>
        <v>@ibo_angel</v>
      </c>
      <c r="C274" s="8" t="s">
        <v>1324</v>
      </c>
      <c r="D274" s="9" t="s">
        <v>1325</v>
      </c>
      <c r="E274" s="10" t="str">
        <f>HYPERLINK("https://twitter.com/ibo_angel/status/1071079695645634560","1071079695645634560")</f>
        <v>1071079695645634560</v>
      </c>
      <c r="F274" s="13" t="s">
        <v>1069</v>
      </c>
      <c r="G274" s="11"/>
      <c r="H274" s="11"/>
      <c r="I274" s="14">
        <v>12</v>
      </c>
      <c r="J274" s="14">
        <v>20</v>
      </c>
      <c r="K274" s="15" t="str">
        <f>HYPERLINK("http://twitter.com/download/android","Twitter for Android")</f>
        <v>Twitter for Android</v>
      </c>
      <c r="L274" s="14">
        <v>720</v>
      </c>
      <c r="M274" s="14">
        <v>582</v>
      </c>
      <c r="N274" s="14">
        <v>3</v>
      </c>
      <c r="O274" s="16"/>
      <c r="P274" s="6">
        <v>42186.960439814815</v>
      </c>
      <c r="Q274" s="12" t="s">
        <v>1327</v>
      </c>
      <c r="R274" s="17" t="s">
        <v>1329</v>
      </c>
      <c r="S274" s="13" t="s">
        <v>1330</v>
      </c>
      <c r="T274" s="11"/>
      <c r="U274" s="10" t="str">
        <f>HYPERLINK("https://pbs.twimg.com/profile_images/1070097179677728768/fnKQiIZK.jpg","View")</f>
        <v>View</v>
      </c>
    </row>
    <row r="275" spans="1:21" ht="30.6">
      <c r="A275" s="6">
        <v>43441.72928240741</v>
      </c>
      <c r="B275" s="7" t="str">
        <f>HYPERLINK("https://twitter.com/rosira_rosi","@rosira_rosi")</f>
        <v>@rosira_rosi</v>
      </c>
      <c r="C275" s="8" t="s">
        <v>1333</v>
      </c>
      <c r="D275" s="9" t="s">
        <v>1334</v>
      </c>
      <c r="E275" s="10" t="str">
        <f>HYPERLINK("https://twitter.com/rosira_rosi/status/1071079431370878976","1071079431370878976")</f>
        <v>1071079431370878976</v>
      </c>
      <c r="F275" s="13" t="s">
        <v>228</v>
      </c>
      <c r="G275" s="11"/>
      <c r="H275" s="11"/>
      <c r="I275" s="14">
        <v>8</v>
      </c>
      <c r="J275" s="14">
        <v>2</v>
      </c>
      <c r="K275" s="15" t="str">
        <f>HYPERLINK("http://twitter.com/download/iphone","Twitter for iPhone")</f>
        <v>Twitter for iPhone</v>
      </c>
      <c r="L275" s="14">
        <v>7101</v>
      </c>
      <c r="M275" s="14">
        <v>7645</v>
      </c>
      <c r="N275" s="14">
        <v>99</v>
      </c>
      <c r="O275" s="16"/>
      <c r="P275" s="6">
        <v>41960.037627314814</v>
      </c>
      <c r="Q275" s="12" t="s">
        <v>60</v>
      </c>
      <c r="R275" s="18"/>
      <c r="S275" s="11"/>
      <c r="T275" s="11"/>
      <c r="U275" s="10" t="str">
        <f>HYPERLINK("https://pbs.twimg.com/profile_images/555449985941389312/emNF1nmb.jpeg","View")</f>
        <v>View</v>
      </c>
    </row>
    <row r="276" spans="1:21" ht="51">
      <c r="A276" s="6">
        <v>43441.727685185186</v>
      </c>
      <c r="B276" s="7" t="str">
        <f>HYPERLINK("https://twitter.com/migupelo2","@migupelo2")</f>
        <v>@migupelo2</v>
      </c>
      <c r="C276" s="8" t="s">
        <v>907</v>
      </c>
      <c r="D276" s="9" t="s">
        <v>983</v>
      </c>
      <c r="E276" s="10" t="str">
        <f>HYPERLINK("https://twitter.com/migupelo2/status/1071078853202841600","1071078853202841600")</f>
        <v>1071078853202841600</v>
      </c>
      <c r="F276" s="13" t="s">
        <v>984</v>
      </c>
      <c r="G276" s="11"/>
      <c r="H276" s="11"/>
      <c r="I276" s="14">
        <v>0</v>
      </c>
      <c r="J276" s="14">
        <v>0</v>
      </c>
      <c r="K276" s="15" t="str">
        <f t="shared" ref="K276:K277" si="46">HYPERLINK("http://twitter.com","Twitter Web Client")</f>
        <v>Twitter Web Client</v>
      </c>
      <c r="L276" s="14">
        <v>266</v>
      </c>
      <c r="M276" s="14">
        <v>771</v>
      </c>
      <c r="N276" s="14">
        <v>18</v>
      </c>
      <c r="O276" s="16"/>
      <c r="P276" s="6">
        <v>40477.868043981478</v>
      </c>
      <c r="Q276" s="11"/>
      <c r="R276" s="17" t="s">
        <v>914</v>
      </c>
      <c r="S276" s="11"/>
      <c r="T276" s="11"/>
      <c r="U276" s="10" t="str">
        <f>HYPERLINK("https://pbs.twimg.com/profile_images/2906316440/4ed1570f50fd6f70f1b28d458997dd81.jpeg","View")</f>
        <v>View</v>
      </c>
    </row>
    <row r="277" spans="1:21" ht="20.399999999999999">
      <c r="A277" s="6">
        <v>43441.725949074069</v>
      </c>
      <c r="B277" s="7" t="str">
        <f>HYPERLINK("https://twitter.com/lopoisaac","@lopoisaac")</f>
        <v>@lopoisaac</v>
      </c>
      <c r="C277" s="8" t="s">
        <v>1344</v>
      </c>
      <c r="D277" s="9" t="s">
        <v>1345</v>
      </c>
      <c r="E277" s="10" t="str">
        <f>HYPERLINK("https://twitter.com/lopoisaac/status/1071078221087674368","1071078221087674368")</f>
        <v>1071078221087674368</v>
      </c>
      <c r="F277" s="11"/>
      <c r="G277" s="11"/>
      <c r="H277" s="11"/>
      <c r="I277" s="14">
        <v>0</v>
      </c>
      <c r="J277" s="14">
        <v>0</v>
      </c>
      <c r="K277" s="15" t="str">
        <f t="shared" si="46"/>
        <v>Twitter Web Client</v>
      </c>
      <c r="L277" s="14">
        <v>3</v>
      </c>
      <c r="M277" s="14">
        <v>3</v>
      </c>
      <c r="N277" s="14">
        <v>0</v>
      </c>
      <c r="O277" s="16"/>
      <c r="P277" s="6">
        <v>43431.517013888893</v>
      </c>
      <c r="Q277" s="12" t="s">
        <v>1346</v>
      </c>
      <c r="R277" s="17" t="s">
        <v>1347</v>
      </c>
      <c r="S277" s="11"/>
      <c r="T277" s="11"/>
      <c r="U277" s="10" t="str">
        <f>HYPERLINK("https://pbs.twimg.com/profile_images/1067379119481126915/Ldkb9yGS.jpg","View")</f>
        <v>View</v>
      </c>
    </row>
    <row r="278" spans="1:21" ht="40.799999999999997">
      <c r="A278" s="6">
        <v>43441.724259259259</v>
      </c>
      <c r="B278" s="7" t="str">
        <f>HYPERLINK("https://twitter.com/Puyazo2","@Puyazo2")</f>
        <v>@Puyazo2</v>
      </c>
      <c r="C278" s="8" t="s">
        <v>989</v>
      </c>
      <c r="D278" s="9" t="s">
        <v>990</v>
      </c>
      <c r="E278" s="10" t="str">
        <f>HYPERLINK("https://twitter.com/Puyazo2/status/1071077610023739393","1071077610023739393")</f>
        <v>1071077610023739393</v>
      </c>
      <c r="F278" s="11"/>
      <c r="G278" s="13" t="s">
        <v>991</v>
      </c>
      <c r="H278" s="11"/>
      <c r="I278" s="14">
        <v>50</v>
      </c>
      <c r="J278" s="14">
        <v>50</v>
      </c>
      <c r="K278" s="15" t="str">
        <f t="shared" ref="K278:K280" si="47">HYPERLINK("http://twitter.com/download/android","Twitter for Android")</f>
        <v>Twitter for Android</v>
      </c>
      <c r="L278" s="14">
        <v>1752</v>
      </c>
      <c r="M278" s="14">
        <v>1621</v>
      </c>
      <c r="N278" s="14">
        <v>2</v>
      </c>
      <c r="O278" s="16"/>
      <c r="P278" s="6">
        <v>43404.664039351846</v>
      </c>
      <c r="Q278" s="12" t="s">
        <v>137</v>
      </c>
      <c r="R278" s="17" t="s">
        <v>992</v>
      </c>
      <c r="S278" s="11"/>
      <c r="T278" s="11"/>
      <c r="U278" s="10" t="str">
        <f>HYPERLINK("https://pbs.twimg.com/profile_images/1057648510265372672/oAEa8M9d.jpg","View")</f>
        <v>View</v>
      </c>
    </row>
    <row r="279" spans="1:21" ht="20.399999999999999">
      <c r="A279" s="6">
        <v>43441.722152777773</v>
      </c>
      <c r="B279" s="7" t="str">
        <f>HYPERLINK("https://twitter.com/carloshinojosav","@carloshinojosav")</f>
        <v>@carloshinojosav</v>
      </c>
      <c r="C279" s="8" t="s">
        <v>996</v>
      </c>
      <c r="D279" s="9" t="s">
        <v>997</v>
      </c>
      <c r="E279" s="10" t="str">
        <f>HYPERLINK("https://twitter.com/carloshinojosav/status/1071076847646097409","1071076847646097409")</f>
        <v>1071076847646097409</v>
      </c>
      <c r="F279" s="11"/>
      <c r="G279" s="13" t="s">
        <v>999</v>
      </c>
      <c r="H279" s="11"/>
      <c r="I279" s="14">
        <v>3</v>
      </c>
      <c r="J279" s="14">
        <v>5</v>
      </c>
      <c r="K279" s="15" t="str">
        <f t="shared" si="47"/>
        <v>Twitter for Android</v>
      </c>
      <c r="L279" s="14">
        <v>125</v>
      </c>
      <c r="M279" s="14">
        <v>224</v>
      </c>
      <c r="N279" s="14">
        <v>0</v>
      </c>
      <c r="O279" s="16"/>
      <c r="P279" s="6">
        <v>41249.053182870368</v>
      </c>
      <c r="Q279" s="11"/>
      <c r="R279" s="17" t="s">
        <v>1000</v>
      </c>
      <c r="S279" s="11"/>
      <c r="T279" s="11"/>
      <c r="U279" s="10" t="str">
        <f>HYPERLINK("https://pbs.twimg.com/profile_images/786256980474232833/aViplT45.jpg","View")</f>
        <v>View</v>
      </c>
    </row>
    <row r="280" spans="1:21" ht="71.400000000000006">
      <c r="A280" s="6">
        <v>43441.715196759258</v>
      </c>
      <c r="B280" s="7" t="str">
        <f>HYPERLINK("https://twitter.com/David_Seb115","@David_Seb115")</f>
        <v>@David_Seb115</v>
      </c>
      <c r="C280" s="8" t="s">
        <v>1001</v>
      </c>
      <c r="D280" s="9" t="s">
        <v>1002</v>
      </c>
      <c r="E280" s="10" t="str">
        <f>HYPERLINK("https://twitter.com/David_Seb115/status/1071074326189891584","1071074326189891584")</f>
        <v>1071074326189891584</v>
      </c>
      <c r="F280" s="13" t="s">
        <v>1003</v>
      </c>
      <c r="G280" s="13" t="s">
        <v>1004</v>
      </c>
      <c r="H280" s="11"/>
      <c r="I280" s="14">
        <v>3</v>
      </c>
      <c r="J280" s="14">
        <v>5</v>
      </c>
      <c r="K280" s="15" t="str">
        <f t="shared" si="47"/>
        <v>Twitter for Android</v>
      </c>
      <c r="L280" s="14">
        <v>169</v>
      </c>
      <c r="M280" s="14">
        <v>299</v>
      </c>
      <c r="N280" s="14">
        <v>2</v>
      </c>
      <c r="O280" s="16"/>
      <c r="P280" s="6">
        <v>41997.626377314809</v>
      </c>
      <c r="Q280" s="12" t="s">
        <v>1005</v>
      </c>
      <c r="R280" s="17" t="s">
        <v>1006</v>
      </c>
      <c r="S280" s="13" t="s">
        <v>1007</v>
      </c>
      <c r="T280" s="11"/>
      <c r="U280" s="10" t="str">
        <f>HYPERLINK("https://pbs.twimg.com/profile_images/1069613974809968641/I5uZOOII.jpg","View")</f>
        <v>View</v>
      </c>
    </row>
    <row r="281" spans="1:21" ht="61.2">
      <c r="A281" s="6">
        <v>43441.715173611112</v>
      </c>
      <c r="B281" s="7" t="str">
        <f>HYPERLINK("https://twitter.com/pMeteko","@pMeteko")</f>
        <v>@pMeteko</v>
      </c>
      <c r="C281" s="8" t="s">
        <v>1009</v>
      </c>
      <c r="D281" s="9" t="s">
        <v>1010</v>
      </c>
      <c r="E281" s="10" t="str">
        <f>HYPERLINK("https://twitter.com/pMeteko/status/1071074315649601542","1071074315649601542")</f>
        <v>1071074315649601542</v>
      </c>
      <c r="F281" s="11"/>
      <c r="G281" s="11"/>
      <c r="H281" s="11"/>
      <c r="I281" s="14">
        <v>0</v>
      </c>
      <c r="J281" s="14">
        <v>0</v>
      </c>
      <c r="K281" s="15" t="str">
        <f t="shared" ref="K281:K282" si="48">HYPERLINK("http://twitter.com","Twitter Web Client")</f>
        <v>Twitter Web Client</v>
      </c>
      <c r="L281" s="14">
        <v>4537</v>
      </c>
      <c r="M281" s="14">
        <v>4224</v>
      </c>
      <c r="N281" s="14">
        <v>70</v>
      </c>
      <c r="O281" s="16"/>
      <c r="P281" s="6">
        <v>40213.785879629628</v>
      </c>
      <c r="Q281" s="12" t="s">
        <v>1012</v>
      </c>
      <c r="R281" s="17" t="s">
        <v>1013</v>
      </c>
      <c r="S281" s="13" t="s">
        <v>1014</v>
      </c>
      <c r="T281" s="11"/>
      <c r="U281" s="10" t="str">
        <f>HYPERLINK("https://pbs.twimg.com/profile_images/706589913534300160/OXp3G1pA.jpg","View")</f>
        <v>View</v>
      </c>
    </row>
    <row r="282" spans="1:21" ht="51">
      <c r="A282" s="6">
        <v>43441.712835648148</v>
      </c>
      <c r="B282" s="7" t="str">
        <f>HYPERLINK("https://twitter.com/migupelo2","@migupelo2")</f>
        <v>@migupelo2</v>
      </c>
      <c r="C282" s="8" t="s">
        <v>907</v>
      </c>
      <c r="D282" s="9" t="s">
        <v>1015</v>
      </c>
      <c r="E282" s="10" t="str">
        <f>HYPERLINK("https://twitter.com/migupelo2/status/1071073469868195840","1071073469868195840")</f>
        <v>1071073469868195840</v>
      </c>
      <c r="F282" s="13" t="s">
        <v>1016</v>
      </c>
      <c r="G282" s="11"/>
      <c r="H282" s="11"/>
      <c r="I282" s="14">
        <v>0</v>
      </c>
      <c r="J282" s="14">
        <v>0</v>
      </c>
      <c r="K282" s="15" t="str">
        <f t="shared" si="48"/>
        <v>Twitter Web Client</v>
      </c>
      <c r="L282" s="14">
        <v>266</v>
      </c>
      <c r="M282" s="14">
        <v>771</v>
      </c>
      <c r="N282" s="14">
        <v>18</v>
      </c>
      <c r="O282" s="16"/>
      <c r="P282" s="6">
        <v>40477.868043981478</v>
      </c>
      <c r="Q282" s="11"/>
      <c r="R282" s="17" t="s">
        <v>914</v>
      </c>
      <c r="S282" s="11"/>
      <c r="T282" s="11"/>
      <c r="U282" s="10" t="str">
        <f>HYPERLINK("https://pbs.twimg.com/profile_images/2906316440/4ed1570f50fd6f70f1b28d458997dd81.jpeg","View")</f>
        <v>View</v>
      </c>
    </row>
    <row r="283" spans="1:21" ht="13.2">
      <c r="A283" s="6">
        <v>43441.711655092593</v>
      </c>
      <c r="B283" s="7" t="str">
        <f>HYPERLINK("https://twitter.com/TamaraLempicka4","@TamaraLempicka4")</f>
        <v>@TamaraLempicka4</v>
      </c>
      <c r="C283" s="8" t="s">
        <v>1020</v>
      </c>
      <c r="D283" s="9" t="s">
        <v>1021</v>
      </c>
      <c r="E283" s="10" t="str">
        <f>HYPERLINK("https://twitter.com/TamaraLempicka4/status/1071073041763962881","1071073041763962881")</f>
        <v>1071073041763962881</v>
      </c>
      <c r="F283" s="13" t="s">
        <v>1025</v>
      </c>
      <c r="G283" s="11"/>
      <c r="H283" s="11"/>
      <c r="I283" s="14">
        <v>2</v>
      </c>
      <c r="J283" s="14">
        <v>0</v>
      </c>
      <c r="K283" s="15" t="str">
        <f t="shared" ref="K283:K285" si="49">HYPERLINK("http://twitter.com/download/android","Twitter for Android")</f>
        <v>Twitter for Android</v>
      </c>
      <c r="L283" s="14">
        <v>4457</v>
      </c>
      <c r="M283" s="14">
        <v>1300</v>
      </c>
      <c r="N283" s="14">
        <v>41</v>
      </c>
      <c r="O283" s="16"/>
      <c r="P283" s="6">
        <v>42163.816388888888</v>
      </c>
      <c r="Q283" s="11"/>
      <c r="R283" s="18"/>
      <c r="S283" s="11"/>
      <c r="T283" s="11"/>
      <c r="U283" s="10" t="str">
        <f>HYPERLINK("https://pbs.twimg.com/profile_images/992362497926664192/IZeRdJrV.jpg","View")</f>
        <v>View</v>
      </c>
    </row>
    <row r="284" spans="1:21" ht="51">
      <c r="A284" s="6">
        <v>43441.710451388892</v>
      </c>
      <c r="B284" s="7" t="str">
        <f>HYPERLINK("https://twitter.com/cejalonso1","@cejalonso1")</f>
        <v>@cejalonso1</v>
      </c>
      <c r="C284" s="8" t="s">
        <v>1026</v>
      </c>
      <c r="D284" s="9" t="s">
        <v>39</v>
      </c>
      <c r="E284" s="10" t="str">
        <f>HYPERLINK("https://twitter.com/cejalonso1/status/1071072605174685701","1071072605174685701")</f>
        <v>1071072605174685701</v>
      </c>
      <c r="F284" s="13" t="s">
        <v>1027</v>
      </c>
      <c r="G284" s="11"/>
      <c r="H284" s="11"/>
      <c r="I284" s="14">
        <v>0</v>
      </c>
      <c r="J284" s="14">
        <v>0</v>
      </c>
      <c r="K284" s="15" t="str">
        <f t="shared" si="49"/>
        <v>Twitter for Android</v>
      </c>
      <c r="L284" s="14">
        <v>107</v>
      </c>
      <c r="M284" s="14">
        <v>277</v>
      </c>
      <c r="N284" s="14">
        <v>1</v>
      </c>
      <c r="O284" s="16"/>
      <c r="P284" s="6">
        <v>40822.603310185186</v>
      </c>
      <c r="Q284" s="11"/>
      <c r="R284" s="18"/>
      <c r="S284" s="11"/>
      <c r="T284" s="11"/>
      <c r="U284" s="10" t="str">
        <f>HYPERLINK("https://pbs.twimg.com/profile_images/1015357211457904640/b9ItAEOM.jpg","View")</f>
        <v>View</v>
      </c>
    </row>
    <row r="285" spans="1:21" ht="30.6">
      <c r="A285" s="6">
        <v>43441.710023148145</v>
      </c>
      <c r="B285" s="7" t="str">
        <f>HYPERLINK("https://twitter.com/GonzaloGSz","@GonzaloGSz")</f>
        <v>@GonzaloGSz</v>
      </c>
      <c r="C285" s="8" t="s">
        <v>1363</v>
      </c>
      <c r="D285" s="9" t="s">
        <v>1364</v>
      </c>
      <c r="E285" s="10" t="str">
        <f>HYPERLINK("https://twitter.com/GonzaloGSz/status/1071072452749467649","1071072452749467649")</f>
        <v>1071072452749467649</v>
      </c>
      <c r="F285" s="12" t="s">
        <v>1366</v>
      </c>
      <c r="G285" s="11"/>
      <c r="H285" s="11"/>
      <c r="I285" s="14">
        <v>0</v>
      </c>
      <c r="J285" s="14">
        <v>3</v>
      </c>
      <c r="K285" s="15" t="str">
        <f t="shared" si="49"/>
        <v>Twitter for Android</v>
      </c>
      <c r="L285" s="14">
        <v>106</v>
      </c>
      <c r="M285" s="14">
        <v>437</v>
      </c>
      <c r="N285" s="14">
        <v>0</v>
      </c>
      <c r="O285" s="16"/>
      <c r="P285" s="6">
        <v>42656.610995370371</v>
      </c>
      <c r="Q285" s="12" t="s">
        <v>1367</v>
      </c>
      <c r="R285" s="17" t="s">
        <v>1368</v>
      </c>
      <c r="S285" s="13" t="s">
        <v>1369</v>
      </c>
      <c r="T285" s="11"/>
      <c r="U285" s="10" t="str">
        <f>HYPERLINK("https://pbs.twimg.com/profile_images/924669800554598401/5mR9dUIC.jpg","View")</f>
        <v>View</v>
      </c>
    </row>
    <row r="286" spans="1:21" ht="40.799999999999997">
      <c r="A286" s="6">
        <v>43441.708761574075</v>
      </c>
      <c r="B286" s="7" t="str">
        <f t="shared" ref="B286:B289" si="50">HYPERLINK("https://twitter.com/migupelo2","@migupelo2")</f>
        <v>@migupelo2</v>
      </c>
      <c r="C286" s="8" t="s">
        <v>907</v>
      </c>
      <c r="D286" s="9" t="s">
        <v>1028</v>
      </c>
      <c r="E286" s="10" t="str">
        <f>HYPERLINK("https://twitter.com/migupelo2/status/1071071991954898944","1071071991954898944")</f>
        <v>1071071991954898944</v>
      </c>
      <c r="F286" s="13" t="s">
        <v>1030</v>
      </c>
      <c r="G286" s="11"/>
      <c r="H286" s="11"/>
      <c r="I286" s="14">
        <v>0</v>
      </c>
      <c r="J286" s="14">
        <v>0</v>
      </c>
      <c r="K286" s="15" t="str">
        <f t="shared" ref="K286:K290" si="51">HYPERLINK("http://twitter.com","Twitter Web Client")</f>
        <v>Twitter Web Client</v>
      </c>
      <c r="L286" s="14">
        <v>266</v>
      </c>
      <c r="M286" s="14">
        <v>771</v>
      </c>
      <c r="N286" s="14">
        <v>18</v>
      </c>
      <c r="O286" s="16"/>
      <c r="P286" s="6">
        <v>40477.868043981478</v>
      </c>
      <c r="Q286" s="11"/>
      <c r="R286" s="17" t="s">
        <v>914</v>
      </c>
      <c r="S286" s="11"/>
      <c r="T286" s="11"/>
      <c r="U286" s="10" t="str">
        <f t="shared" ref="U286:U289" si="52">HYPERLINK("https://pbs.twimg.com/profile_images/2906316440/4ed1570f50fd6f70f1b28d458997dd81.jpeg","View")</f>
        <v>View</v>
      </c>
    </row>
    <row r="287" spans="1:21" ht="51">
      <c r="A287" s="6">
        <v>43441.704166666663</v>
      </c>
      <c r="B287" s="7" t="str">
        <f t="shared" si="50"/>
        <v>@migupelo2</v>
      </c>
      <c r="C287" s="8" t="s">
        <v>907</v>
      </c>
      <c r="D287" s="9" t="s">
        <v>1032</v>
      </c>
      <c r="E287" s="10" t="str">
        <f>HYPERLINK("https://twitter.com/migupelo2/status/1071070329508900866","1071070329508900866")</f>
        <v>1071070329508900866</v>
      </c>
      <c r="F287" s="13" t="s">
        <v>1033</v>
      </c>
      <c r="G287" s="11"/>
      <c r="H287" s="11"/>
      <c r="I287" s="14">
        <v>0</v>
      </c>
      <c r="J287" s="14">
        <v>0</v>
      </c>
      <c r="K287" s="15" t="str">
        <f t="shared" si="51"/>
        <v>Twitter Web Client</v>
      </c>
      <c r="L287" s="14">
        <v>266</v>
      </c>
      <c r="M287" s="14">
        <v>771</v>
      </c>
      <c r="N287" s="14">
        <v>18</v>
      </c>
      <c r="O287" s="16"/>
      <c r="P287" s="6">
        <v>40477.868043981478</v>
      </c>
      <c r="Q287" s="11"/>
      <c r="R287" s="17" t="s">
        <v>914</v>
      </c>
      <c r="S287" s="11"/>
      <c r="T287" s="11"/>
      <c r="U287" s="10" t="str">
        <f t="shared" si="52"/>
        <v>View</v>
      </c>
    </row>
    <row r="288" spans="1:21" ht="51">
      <c r="A288" s="6">
        <v>43441.70313657407</v>
      </c>
      <c r="B288" s="7" t="str">
        <f t="shared" si="50"/>
        <v>@migupelo2</v>
      </c>
      <c r="C288" s="8" t="s">
        <v>907</v>
      </c>
      <c r="D288" s="9" t="s">
        <v>1034</v>
      </c>
      <c r="E288" s="10" t="str">
        <f>HYPERLINK("https://twitter.com/migupelo2/status/1071069955884548096","1071069955884548096")</f>
        <v>1071069955884548096</v>
      </c>
      <c r="F288" s="13" t="s">
        <v>1035</v>
      </c>
      <c r="G288" s="11"/>
      <c r="H288" s="11"/>
      <c r="I288" s="14">
        <v>0</v>
      </c>
      <c r="J288" s="14">
        <v>0</v>
      </c>
      <c r="K288" s="15" t="str">
        <f t="shared" si="51"/>
        <v>Twitter Web Client</v>
      </c>
      <c r="L288" s="14">
        <v>266</v>
      </c>
      <c r="M288" s="14">
        <v>771</v>
      </c>
      <c r="N288" s="14">
        <v>18</v>
      </c>
      <c r="O288" s="16"/>
      <c r="P288" s="6">
        <v>40477.868043981478</v>
      </c>
      <c r="Q288" s="11"/>
      <c r="R288" s="17" t="s">
        <v>914</v>
      </c>
      <c r="S288" s="11"/>
      <c r="T288" s="11"/>
      <c r="U288" s="10" t="str">
        <f t="shared" si="52"/>
        <v>View</v>
      </c>
    </row>
    <row r="289" spans="1:21" ht="40.799999999999997">
      <c r="A289" s="6">
        <v>43441.70039351852</v>
      </c>
      <c r="B289" s="7" t="str">
        <f t="shared" si="50"/>
        <v>@migupelo2</v>
      </c>
      <c r="C289" s="8" t="s">
        <v>907</v>
      </c>
      <c r="D289" s="9" t="s">
        <v>1039</v>
      </c>
      <c r="E289" s="10" t="str">
        <f>HYPERLINK("https://twitter.com/migupelo2/status/1071068962530779136","1071068962530779136")</f>
        <v>1071068962530779136</v>
      </c>
      <c r="F289" s="13" t="s">
        <v>1041</v>
      </c>
      <c r="G289" s="11"/>
      <c r="H289" s="11"/>
      <c r="I289" s="14">
        <v>0</v>
      </c>
      <c r="J289" s="14">
        <v>0</v>
      </c>
      <c r="K289" s="15" t="str">
        <f t="shared" si="51"/>
        <v>Twitter Web Client</v>
      </c>
      <c r="L289" s="14">
        <v>266</v>
      </c>
      <c r="M289" s="14">
        <v>771</v>
      </c>
      <c r="N289" s="14">
        <v>18</v>
      </c>
      <c r="O289" s="16"/>
      <c r="P289" s="6">
        <v>40477.868043981478</v>
      </c>
      <c r="Q289" s="11"/>
      <c r="R289" s="17" t="s">
        <v>914</v>
      </c>
      <c r="S289" s="11"/>
      <c r="T289" s="11"/>
      <c r="U289" s="10" t="str">
        <f t="shared" si="52"/>
        <v>View</v>
      </c>
    </row>
    <row r="290" spans="1:21" ht="40.799999999999997">
      <c r="A290" s="6">
        <v>43441.699907407412</v>
      </c>
      <c r="B290" s="7" t="str">
        <f>HYPERLINK("https://twitter.com/mariano9605","@mariano9605")</f>
        <v>@mariano9605</v>
      </c>
      <c r="C290" s="8" t="s">
        <v>1381</v>
      </c>
      <c r="D290" s="9" t="s">
        <v>1382</v>
      </c>
      <c r="E290" s="10" t="str">
        <f>HYPERLINK("https://twitter.com/mariano9605/status/1071068786135105536","1071068786135105536")</f>
        <v>1071068786135105536</v>
      </c>
      <c r="F290" s="13" t="s">
        <v>1137</v>
      </c>
      <c r="G290" s="11"/>
      <c r="H290" s="11"/>
      <c r="I290" s="14">
        <v>9</v>
      </c>
      <c r="J290" s="14">
        <v>4</v>
      </c>
      <c r="K290" s="15" t="str">
        <f t="shared" si="51"/>
        <v>Twitter Web Client</v>
      </c>
      <c r="L290" s="14">
        <v>56286</v>
      </c>
      <c r="M290" s="14">
        <v>54122</v>
      </c>
      <c r="N290" s="14">
        <v>303</v>
      </c>
      <c r="O290" s="16"/>
      <c r="P290" s="6">
        <v>40869.915659722225</v>
      </c>
      <c r="Q290" s="12" t="s">
        <v>1383</v>
      </c>
      <c r="R290" s="17" t="s">
        <v>1384</v>
      </c>
      <c r="S290" s="11"/>
      <c r="T290" s="11"/>
      <c r="U290" s="10" t="str">
        <f>HYPERLINK("https://pbs.twimg.com/profile_images/427860629525757952/ohW7e5Pf.jpeg","View")</f>
        <v>View</v>
      </c>
    </row>
    <row r="291" spans="1:21" ht="40.799999999999997">
      <c r="A291" s="6">
        <v>43441.697731481487</v>
      </c>
      <c r="B291" s="7" t="str">
        <f>HYPERLINK("https://twitter.com/caval100","@caval100")</f>
        <v>@caval100</v>
      </c>
      <c r="C291" s="8" t="s">
        <v>1386</v>
      </c>
      <c r="D291" s="9" t="s">
        <v>1387</v>
      </c>
      <c r="E291" s="10" t="str">
        <f>HYPERLINK("https://twitter.com/caval100/status/1071067994678276097","1071067994678276097")</f>
        <v>1071067994678276097</v>
      </c>
      <c r="F291" s="13" t="s">
        <v>1388</v>
      </c>
      <c r="G291" s="13" t="s">
        <v>1389</v>
      </c>
      <c r="H291" s="11"/>
      <c r="I291" s="14">
        <v>1</v>
      </c>
      <c r="J291" s="14">
        <v>0</v>
      </c>
      <c r="K291" s="15" t="str">
        <f>HYPERLINK("http://twitter.com/download/android","Twitter for Android")</f>
        <v>Twitter for Android</v>
      </c>
      <c r="L291" s="14">
        <v>119343</v>
      </c>
      <c r="M291" s="14">
        <v>94000</v>
      </c>
      <c r="N291" s="14">
        <v>982</v>
      </c>
      <c r="O291" s="16"/>
      <c r="P291" s="6">
        <v>40079.437094907407</v>
      </c>
      <c r="Q291" s="12" t="s">
        <v>1392</v>
      </c>
      <c r="R291" s="17" t="s">
        <v>1393</v>
      </c>
      <c r="S291" s="13" t="s">
        <v>1394</v>
      </c>
      <c r="T291" s="11"/>
      <c r="U291" s="10" t="str">
        <f>HYPERLINK("https://pbs.twimg.com/profile_images/965350678301429760/uvGI7g8U.jpg","View")</f>
        <v>View</v>
      </c>
    </row>
    <row r="292" spans="1:21" ht="51">
      <c r="A292" s="6">
        <v>43441.697662037041</v>
      </c>
      <c r="B292" s="7" t="str">
        <f>HYPERLINK("https://twitter.com/Adera87876205","@Adera87876205")</f>
        <v>@Adera87876205</v>
      </c>
      <c r="C292" s="8" t="s">
        <v>1042</v>
      </c>
      <c r="D292" s="9" t="s">
        <v>39</v>
      </c>
      <c r="E292" s="10" t="str">
        <f>HYPERLINK("https://twitter.com/Adera87876205/status/1071067971395743744","1071067971395743744")</f>
        <v>1071067971395743744</v>
      </c>
      <c r="F292" s="13" t="s">
        <v>1043</v>
      </c>
      <c r="G292" s="11"/>
      <c r="H292" s="11"/>
      <c r="I292" s="14">
        <v>0</v>
      </c>
      <c r="J292" s="14">
        <v>0</v>
      </c>
      <c r="K292" s="15" t="str">
        <f>HYPERLINK("http://twitter.com/#!/download/ipad","Twitter for iPad")</f>
        <v>Twitter for iPad</v>
      </c>
      <c r="L292" s="14">
        <v>112</v>
      </c>
      <c r="M292" s="14">
        <v>304</v>
      </c>
      <c r="N292" s="14">
        <v>8</v>
      </c>
      <c r="O292" s="16"/>
      <c r="P292" s="6">
        <v>41534.746168981481</v>
      </c>
      <c r="Q292" s="11"/>
      <c r="R292" s="18"/>
      <c r="S292" s="11"/>
      <c r="T292" s="11"/>
      <c r="U292" s="10" t="str">
        <f>HYPERLINK("https://pbs.twimg.com/profile_images/1069259751366803456/zsZYqkYN.jpg","View")</f>
        <v>View</v>
      </c>
    </row>
    <row r="293" spans="1:21" ht="51">
      <c r="A293" s="6">
        <v>43441.69699074074</v>
      </c>
      <c r="B293" s="7" t="str">
        <f>HYPERLINK("https://twitter.com/Malendj80Jesus","@Malendj80Jesus")</f>
        <v>@Malendj80Jesus</v>
      </c>
      <c r="C293" s="8" t="s">
        <v>1044</v>
      </c>
      <c r="D293" s="9" t="s">
        <v>39</v>
      </c>
      <c r="E293" s="10" t="str">
        <f>HYPERLINK("https://twitter.com/Malendj80Jesus/status/1071067729191424001","1071067729191424001")</f>
        <v>1071067729191424001</v>
      </c>
      <c r="F293" s="13" t="s">
        <v>1045</v>
      </c>
      <c r="G293" s="11"/>
      <c r="H293" s="11"/>
      <c r="I293" s="14">
        <v>0</v>
      </c>
      <c r="J293" s="14">
        <v>0</v>
      </c>
      <c r="K293" s="15" t="str">
        <f>HYPERLINK("http://twitter.com","Twitter Web Client")</f>
        <v>Twitter Web Client</v>
      </c>
      <c r="L293" s="14">
        <v>2605</v>
      </c>
      <c r="M293" s="14">
        <v>2727</v>
      </c>
      <c r="N293" s="14">
        <v>33</v>
      </c>
      <c r="O293" s="16"/>
      <c r="P293" s="6">
        <v>41524.555914351848</v>
      </c>
      <c r="Q293" s="12" t="s">
        <v>1046</v>
      </c>
      <c r="R293" s="17" t="s">
        <v>1047</v>
      </c>
      <c r="S293" s="11"/>
      <c r="T293" s="11"/>
      <c r="U293" s="10" t="str">
        <f>HYPERLINK("https://pbs.twimg.com/profile_images/700038910123110400/3cUmfehT.jpg","View")</f>
        <v>View</v>
      </c>
    </row>
    <row r="294" spans="1:21" ht="20.399999999999999">
      <c r="A294" s="6">
        <v>43441.69604166667</v>
      </c>
      <c r="B294" s="7" t="str">
        <f>HYPERLINK("https://twitter.com/nosinmayonesa","@nosinmayonesa")</f>
        <v>@nosinmayonesa</v>
      </c>
      <c r="C294" s="8" t="s">
        <v>1402</v>
      </c>
      <c r="D294" s="9" t="s">
        <v>1403</v>
      </c>
      <c r="E294" s="10" t="str">
        <f>HYPERLINK("https://twitter.com/nosinmayonesa/status/1071067383253614592","1071067383253614592")</f>
        <v>1071067383253614592</v>
      </c>
      <c r="F294" s="11"/>
      <c r="G294" s="11"/>
      <c r="H294" s="11"/>
      <c r="I294" s="14">
        <v>0</v>
      </c>
      <c r="J294" s="14">
        <v>1</v>
      </c>
      <c r="K294" s="15" t="str">
        <f>HYPERLINK("http://twitter.com/download/android","Twitter for Android")</f>
        <v>Twitter for Android</v>
      </c>
      <c r="L294" s="14">
        <v>2631</v>
      </c>
      <c r="M294" s="14">
        <v>851</v>
      </c>
      <c r="N294" s="14">
        <v>33</v>
      </c>
      <c r="O294" s="16"/>
      <c r="P294" s="6">
        <v>40573.652349537035</v>
      </c>
      <c r="Q294" s="12" t="s">
        <v>1406</v>
      </c>
      <c r="R294" s="17" t="s">
        <v>1407</v>
      </c>
      <c r="S294" s="11"/>
      <c r="T294" s="11"/>
      <c r="U294" s="10" t="str">
        <f>HYPERLINK("https://pbs.twimg.com/profile_images/1071066734281543680/fWZ2utMp.jpg","View")</f>
        <v>View</v>
      </c>
    </row>
    <row r="295" spans="1:21" ht="51">
      <c r="A295" s="6">
        <v>43441.695752314816</v>
      </c>
      <c r="B295" s="7" t="str">
        <f>HYPERLINK("https://twitter.com/humorindignado","@humorindignado")</f>
        <v>@humorindignado</v>
      </c>
      <c r="C295" s="8" t="s">
        <v>1409</v>
      </c>
      <c r="D295" s="9" t="s">
        <v>1410</v>
      </c>
      <c r="E295" s="10" t="str">
        <f>HYPERLINK("https://twitter.com/humorindignado/status/1071067277930450951","1071067277930450951")</f>
        <v>1071067277930450951</v>
      </c>
      <c r="F295" s="13" t="s">
        <v>1411</v>
      </c>
      <c r="G295" s="13" t="s">
        <v>1412</v>
      </c>
      <c r="H295" s="11"/>
      <c r="I295" s="14">
        <v>14</v>
      </c>
      <c r="J295" s="14">
        <v>7</v>
      </c>
      <c r="K295" s="15" t="str">
        <f>HYPERLINK("http://twitter.com","Twitter Web Client")</f>
        <v>Twitter Web Client</v>
      </c>
      <c r="L295" s="14">
        <v>14902</v>
      </c>
      <c r="M295" s="14">
        <v>1517</v>
      </c>
      <c r="N295" s="14">
        <v>203</v>
      </c>
      <c r="O295" s="16"/>
      <c r="P295" s="6">
        <v>41170.752233796295</v>
      </c>
      <c r="Q295" s="11"/>
      <c r="R295" s="17" t="s">
        <v>1413</v>
      </c>
      <c r="S295" s="11"/>
      <c r="T295" s="11"/>
      <c r="U295" s="10" t="str">
        <f>HYPERLINK("https://pbs.twimg.com/profile_images/881952014955098112/-1DY4RVD.jpg","View")</f>
        <v>View</v>
      </c>
    </row>
    <row r="296" spans="1:21" ht="40.799999999999997">
      <c r="A296" s="6">
        <v>43441.692743055552</v>
      </c>
      <c r="B296" s="7" t="str">
        <f>HYPERLINK("https://twitter.com/VictorGonz54","@VictorGonz54")</f>
        <v>@VictorGonz54</v>
      </c>
      <c r="C296" s="8" t="s">
        <v>1050</v>
      </c>
      <c r="D296" s="9" t="s">
        <v>1051</v>
      </c>
      <c r="E296" s="10" t="str">
        <f>HYPERLINK("https://twitter.com/VictorGonz54/status/1071066186908094464","1071066186908094464")</f>
        <v>1071066186908094464</v>
      </c>
      <c r="F296" s="11"/>
      <c r="G296" s="13" t="s">
        <v>1054</v>
      </c>
      <c r="H296" s="11"/>
      <c r="I296" s="14">
        <v>126</v>
      </c>
      <c r="J296" s="14">
        <v>81</v>
      </c>
      <c r="K296" s="15" t="str">
        <f>HYPERLINK("http://twitter.com/download/android","Twitter for Android")</f>
        <v>Twitter for Android</v>
      </c>
      <c r="L296" s="14">
        <v>15295</v>
      </c>
      <c r="M296" s="14">
        <v>9108</v>
      </c>
      <c r="N296" s="14">
        <v>175</v>
      </c>
      <c r="O296" s="16"/>
      <c r="P296" s="6">
        <v>41203.522766203707</v>
      </c>
      <c r="Q296" s="12" t="s">
        <v>1058</v>
      </c>
      <c r="R296" s="17" t="s">
        <v>1059</v>
      </c>
      <c r="S296" s="11"/>
      <c r="T296" s="11"/>
      <c r="U296" s="10" t="str">
        <f>HYPERLINK("https://pbs.twimg.com/profile_images/995373839830999040/dAXqFOJn.jpg","View")</f>
        <v>View</v>
      </c>
    </row>
    <row r="297" spans="1:21" ht="40.799999999999997">
      <c r="A297" s="6">
        <v>43441.687476851846</v>
      </c>
      <c r="B297" s="7" t="str">
        <f>HYPERLINK("https://twitter.com/PdeSamos","@PdeSamos")</f>
        <v>@PdeSamos</v>
      </c>
      <c r="C297" s="8" t="s">
        <v>794</v>
      </c>
      <c r="D297" s="9" t="s">
        <v>1418</v>
      </c>
      <c r="E297" s="10" t="str">
        <f>HYPERLINK("https://twitter.com/PdeSamos/status/1071064278965383169","1071064278965383169")</f>
        <v>1071064278965383169</v>
      </c>
      <c r="F297" s="13" t="s">
        <v>1419</v>
      </c>
      <c r="G297" s="11"/>
      <c r="H297" s="11"/>
      <c r="I297" s="14">
        <v>0</v>
      </c>
      <c r="J297" s="14">
        <v>0</v>
      </c>
      <c r="K297" s="15" t="str">
        <f>HYPERLINK("http://republico.ddns.net","App Libertad PdeSamos")</f>
        <v>App Libertad PdeSamos</v>
      </c>
      <c r="L297" s="14">
        <v>5398</v>
      </c>
      <c r="M297" s="14">
        <v>5441</v>
      </c>
      <c r="N297" s="14">
        <v>12</v>
      </c>
      <c r="O297" s="16"/>
      <c r="P297" s="6">
        <v>42889.820567129631</v>
      </c>
      <c r="Q297" s="12" t="s">
        <v>800</v>
      </c>
      <c r="R297" s="17" t="s">
        <v>801</v>
      </c>
      <c r="S297" s="11"/>
      <c r="T297" s="11"/>
      <c r="U297" s="10" t="str">
        <f>HYPERLINK("https://pbs.twimg.com/profile_images/871063742003511296/xK2IYbrO.jpg","View")</f>
        <v>View</v>
      </c>
    </row>
    <row r="298" spans="1:21" ht="40.799999999999997">
      <c r="A298" s="6">
        <v>43441.683865740742</v>
      </c>
      <c r="B298" s="7" t="str">
        <f>HYPERLINK("https://twitter.com/chequevara_","@chequevara_")</f>
        <v>@chequevara_</v>
      </c>
      <c r="C298" s="8" t="s">
        <v>1066</v>
      </c>
      <c r="D298" s="9" t="s">
        <v>1067</v>
      </c>
      <c r="E298" s="10" t="str">
        <f>HYPERLINK("https://twitter.com/chequevara_/status/1071062970707382272","1071062970707382272")</f>
        <v>1071062970707382272</v>
      </c>
      <c r="F298" s="13" t="s">
        <v>1069</v>
      </c>
      <c r="G298" s="11"/>
      <c r="H298" s="11"/>
      <c r="I298" s="14">
        <v>2</v>
      </c>
      <c r="J298" s="14">
        <v>2</v>
      </c>
      <c r="K298" s="15" t="str">
        <f>HYPERLINK("http://twitter.com/download/android","Twitter for Android")</f>
        <v>Twitter for Android</v>
      </c>
      <c r="L298" s="14">
        <v>2656</v>
      </c>
      <c r="M298" s="14">
        <v>228</v>
      </c>
      <c r="N298" s="14">
        <v>15</v>
      </c>
      <c r="O298" s="16"/>
      <c r="P298" s="6">
        <v>42374.437905092593</v>
      </c>
      <c r="Q298" s="11"/>
      <c r="R298" s="17" t="s">
        <v>1070</v>
      </c>
      <c r="S298" s="11"/>
      <c r="T298" s="11"/>
      <c r="U298" s="10" t="str">
        <f>HYPERLINK("https://pbs.twimg.com/profile_images/957294038817951745/cEoYtoL8.jpg","View")</f>
        <v>View</v>
      </c>
    </row>
    <row r="299" spans="1:21" ht="51">
      <c r="A299" s="6">
        <v>43441.680428240739</v>
      </c>
      <c r="B299" s="7" t="str">
        <f>HYPERLINK("https://twitter.com/OMRobles1","@OMRobles1")</f>
        <v>@OMRobles1</v>
      </c>
      <c r="C299" s="8" t="s">
        <v>1071</v>
      </c>
      <c r="D299" s="9" t="s">
        <v>1072</v>
      </c>
      <c r="E299" s="10" t="str">
        <f>HYPERLINK("https://twitter.com/OMRobles1/status/1071061727402491904","1071061727402491904")</f>
        <v>1071061727402491904</v>
      </c>
      <c r="F299" s="11"/>
      <c r="G299" s="11"/>
      <c r="H299" s="11"/>
      <c r="I299" s="14">
        <v>0</v>
      </c>
      <c r="J299" s="14">
        <v>0</v>
      </c>
      <c r="K299" s="15" t="str">
        <f>HYPERLINK("http://twitter.com/download/iphone","Twitter for iPhone")</f>
        <v>Twitter for iPhone</v>
      </c>
      <c r="L299" s="14">
        <v>5</v>
      </c>
      <c r="M299" s="14">
        <v>54</v>
      </c>
      <c r="N299" s="14">
        <v>0</v>
      </c>
      <c r="O299" s="16"/>
      <c r="P299" s="6">
        <v>43263.566932870366</v>
      </c>
      <c r="Q299" s="11"/>
      <c r="R299" s="18"/>
      <c r="S299" s="11"/>
      <c r="T299" s="11"/>
      <c r="U299" s="10" t="str">
        <f>HYPERLINK("https://pbs.twimg.com/profile_images/1015283760185659392/tFnzyzd0.jpg","View")</f>
        <v>View</v>
      </c>
    </row>
    <row r="300" spans="1:21" ht="61.2">
      <c r="A300" s="6">
        <v>43441.678773148145</v>
      </c>
      <c r="B300" s="7" t="str">
        <f>HYPERLINK("https://twitter.com/Bolules","@Bolules")</f>
        <v>@Bolules</v>
      </c>
      <c r="C300" s="8" t="s">
        <v>1080</v>
      </c>
      <c r="D300" s="9" t="s">
        <v>1081</v>
      </c>
      <c r="E300" s="10" t="str">
        <f>HYPERLINK("https://twitter.com/Bolules/status/1071061127340179456","1071061127340179456")</f>
        <v>1071061127340179456</v>
      </c>
      <c r="F300" s="11"/>
      <c r="G300" s="11"/>
      <c r="H300" s="11"/>
      <c r="I300" s="14">
        <v>0</v>
      </c>
      <c r="J300" s="14">
        <v>0</v>
      </c>
      <c r="K300" s="15" t="str">
        <f t="shared" ref="K300:K304" si="53">HYPERLINK("http://twitter.com/download/android","Twitter for Android")</f>
        <v>Twitter for Android</v>
      </c>
      <c r="L300" s="14">
        <v>421</v>
      </c>
      <c r="M300" s="14">
        <v>803</v>
      </c>
      <c r="N300" s="14">
        <v>11</v>
      </c>
      <c r="O300" s="16"/>
      <c r="P300" s="6">
        <v>40442.280451388891</v>
      </c>
      <c r="Q300" s="12" t="s">
        <v>1084</v>
      </c>
      <c r="R300" s="17" t="s">
        <v>1085</v>
      </c>
      <c r="S300" s="13" t="s">
        <v>1086</v>
      </c>
      <c r="T300" s="11"/>
      <c r="U300" s="10" t="str">
        <f>HYPERLINK("https://pbs.twimg.com/profile_images/999101729252687872/US1lBUTd.jpg","View")</f>
        <v>View</v>
      </c>
    </row>
    <row r="301" spans="1:21" ht="40.799999999999997">
      <c r="A301" s="6">
        <v>43441.678749999999</v>
      </c>
      <c r="B301" s="7" t="str">
        <f>HYPERLINK("https://twitter.com/spanishpatrice","@spanishpatrice")</f>
        <v>@spanishpatrice</v>
      </c>
      <c r="C301" s="8" t="s">
        <v>1427</v>
      </c>
      <c r="D301" s="9" t="s">
        <v>1428</v>
      </c>
      <c r="E301" s="10" t="str">
        <f>HYPERLINK("https://twitter.com/spanishpatrice/status/1071061119740067842","1071061119740067842")</f>
        <v>1071061119740067842</v>
      </c>
      <c r="F301" s="13" t="s">
        <v>1429</v>
      </c>
      <c r="G301" s="13" t="s">
        <v>1430</v>
      </c>
      <c r="H301" s="11"/>
      <c r="I301" s="14">
        <v>0</v>
      </c>
      <c r="J301" s="14">
        <v>0</v>
      </c>
      <c r="K301" s="15" t="str">
        <f t="shared" si="53"/>
        <v>Twitter for Android</v>
      </c>
      <c r="L301" s="14">
        <v>43</v>
      </c>
      <c r="M301" s="14">
        <v>58</v>
      </c>
      <c r="N301" s="14">
        <v>0</v>
      </c>
      <c r="O301" s="16"/>
      <c r="P301" s="6">
        <v>43286.842337962968</v>
      </c>
      <c r="Q301" s="11"/>
      <c r="R301" s="17" t="s">
        <v>1431</v>
      </c>
      <c r="S301" s="11"/>
      <c r="T301" s="11"/>
      <c r="U301" s="10" t="str">
        <f>HYPERLINK("https://pbs.twimg.com/profile_images/1069283391571484684/DnZZMttQ.jpg","View")</f>
        <v>View</v>
      </c>
    </row>
    <row r="302" spans="1:21" ht="40.799999999999997">
      <c r="A302" s="6">
        <v>43441.678425925929</v>
      </c>
      <c r="B302" s="7" t="str">
        <f>HYPERLINK("https://twitter.com/Movev_zulia","@Movev_zulia")</f>
        <v>@Movev_zulia</v>
      </c>
      <c r="C302" s="8" t="s">
        <v>1089</v>
      </c>
      <c r="D302" s="9" t="s">
        <v>1090</v>
      </c>
      <c r="E302" s="10" t="str">
        <f>HYPERLINK("https://twitter.com/Movev_zulia/status/1071061000521216000","1071061000521216000")</f>
        <v>1071061000521216000</v>
      </c>
      <c r="F302" s="11"/>
      <c r="G302" s="13" t="s">
        <v>1091</v>
      </c>
      <c r="H302" s="11"/>
      <c r="I302" s="14">
        <v>0</v>
      </c>
      <c r="J302" s="14">
        <v>0</v>
      </c>
      <c r="K302" s="15" t="str">
        <f t="shared" si="53"/>
        <v>Twitter for Android</v>
      </c>
      <c r="L302" s="14">
        <v>4440</v>
      </c>
      <c r="M302" s="14">
        <v>4052</v>
      </c>
      <c r="N302" s="14">
        <v>50</v>
      </c>
      <c r="O302" s="16"/>
      <c r="P302" s="6">
        <v>40042.179976851854</v>
      </c>
      <c r="Q302" s="12" t="s">
        <v>1096</v>
      </c>
      <c r="R302" s="17" t="s">
        <v>1097</v>
      </c>
      <c r="S302" s="11"/>
      <c r="T302" s="11"/>
      <c r="U302" s="10" t="str">
        <f>HYPERLINK("https://pbs.twimg.com/profile_images/1061345906350546945/9yGklYGH.jpg","View")</f>
        <v>View</v>
      </c>
    </row>
    <row r="303" spans="1:21" ht="13.2">
      <c r="A303" s="6">
        <v>43441.67396990741</v>
      </c>
      <c r="B303" s="7" t="str">
        <f>HYPERLINK("https://twitter.com/guitxe","@guitxe")</f>
        <v>@guitxe</v>
      </c>
      <c r="C303" s="8" t="s">
        <v>1434</v>
      </c>
      <c r="D303" s="9" t="s">
        <v>1435</v>
      </c>
      <c r="E303" s="10" t="str">
        <f>HYPERLINK("https://twitter.com/guitxe/status/1071059387190571009","1071059387190571009")</f>
        <v>1071059387190571009</v>
      </c>
      <c r="F303" s="11"/>
      <c r="G303" s="11"/>
      <c r="H303" s="11"/>
      <c r="I303" s="14">
        <v>0</v>
      </c>
      <c r="J303" s="14">
        <v>0</v>
      </c>
      <c r="K303" s="15" t="str">
        <f t="shared" si="53"/>
        <v>Twitter for Android</v>
      </c>
      <c r="L303" s="14">
        <v>215</v>
      </c>
      <c r="M303" s="14">
        <v>549</v>
      </c>
      <c r="N303" s="14">
        <v>8</v>
      </c>
      <c r="O303" s="16"/>
      <c r="P303" s="6">
        <v>39636.076886574076</v>
      </c>
      <c r="Q303" s="12" t="s">
        <v>1436</v>
      </c>
      <c r="R303" s="17" t="s">
        <v>1437</v>
      </c>
      <c r="S303" s="11"/>
      <c r="T303" s="11"/>
      <c r="U303" s="10" t="str">
        <f>HYPERLINK("https://pbs.twimg.com/profile_images/989609472237727748/2oeFvm7X.jpg","View")</f>
        <v>View</v>
      </c>
    </row>
    <row r="304" spans="1:21" ht="40.799999999999997">
      <c r="A304" s="6">
        <v>43441.672488425931</v>
      </c>
      <c r="B304" s="7" t="str">
        <f>HYPERLINK("https://twitter.com/LouMonth","@LouMonth")</f>
        <v>@LouMonth</v>
      </c>
      <c r="C304" s="8" t="s">
        <v>1439</v>
      </c>
      <c r="D304" s="9" t="s">
        <v>225</v>
      </c>
      <c r="E304" s="10" t="str">
        <f>HYPERLINK("https://twitter.com/LouMonth/status/1071058849916948480","1071058849916948480")</f>
        <v>1071058849916948480</v>
      </c>
      <c r="F304" s="13" t="s">
        <v>228</v>
      </c>
      <c r="G304" s="11"/>
      <c r="H304" s="11"/>
      <c r="I304" s="14">
        <v>0</v>
      </c>
      <c r="J304" s="14">
        <v>0</v>
      </c>
      <c r="K304" s="15" t="str">
        <f t="shared" si="53"/>
        <v>Twitter for Android</v>
      </c>
      <c r="L304" s="14">
        <v>618</v>
      </c>
      <c r="M304" s="14">
        <v>979</v>
      </c>
      <c r="N304" s="14">
        <v>11</v>
      </c>
      <c r="O304" s="16"/>
      <c r="P304" s="6">
        <v>42043.653182870374</v>
      </c>
      <c r="Q304" s="11"/>
      <c r="R304" s="17" t="s">
        <v>1441</v>
      </c>
      <c r="S304" s="11"/>
      <c r="T304" s="11"/>
      <c r="U304" s="10" t="str">
        <f>HYPERLINK("https://pbs.twimg.com/profile_images/973528780307419137/_gxnNgaW.jpg","View")</f>
        <v>View</v>
      </c>
    </row>
    <row r="305" spans="1:21" ht="30.6">
      <c r="A305" s="6">
        <v>43441.669560185182</v>
      </c>
      <c r="B305" s="7" t="str">
        <f>HYPERLINK("https://twitter.com/AmparoRubiales","@AmparoRubiales")</f>
        <v>@AmparoRubiales</v>
      </c>
      <c r="C305" s="8" t="s">
        <v>1442</v>
      </c>
      <c r="D305" s="9" t="s">
        <v>225</v>
      </c>
      <c r="E305" s="10" t="str">
        <f>HYPERLINK("https://twitter.com/AmparoRubiales/status/1071057786023354368","1071057786023354368")</f>
        <v>1071057786023354368</v>
      </c>
      <c r="F305" s="13" t="s">
        <v>228</v>
      </c>
      <c r="G305" s="11"/>
      <c r="H305" s="11"/>
      <c r="I305" s="14">
        <v>1</v>
      </c>
      <c r="J305" s="14">
        <v>2</v>
      </c>
      <c r="K305" s="15" t="str">
        <f t="shared" ref="K305:K306" si="54">HYPERLINK("http://twitter.com/download/iphone","Twitter for iPhone")</f>
        <v>Twitter for iPhone</v>
      </c>
      <c r="L305" s="14">
        <v>13769</v>
      </c>
      <c r="M305" s="14">
        <v>2606</v>
      </c>
      <c r="N305" s="14">
        <v>268</v>
      </c>
      <c r="O305" s="16"/>
      <c r="P305" s="6">
        <v>40687.533900462964</v>
      </c>
      <c r="Q305" s="11"/>
      <c r="R305" s="17" t="s">
        <v>1443</v>
      </c>
      <c r="S305" s="11"/>
      <c r="T305" s="11"/>
      <c r="U305" s="10" t="str">
        <f>HYPERLINK("https://pbs.twimg.com/profile_images/664495189877202944/WYyFsQ5S.jpg","View")</f>
        <v>View</v>
      </c>
    </row>
    <row r="306" spans="1:21" ht="51">
      <c r="A306" s="6">
        <v>43441.667754629627</v>
      </c>
      <c r="B306" s="7" t="str">
        <f>HYPERLINK("https://twitter.com/Albert_Rivera","@Albert_Rivera")</f>
        <v>@Albert_Rivera</v>
      </c>
      <c r="C306" s="8" t="s">
        <v>443</v>
      </c>
      <c r="D306" s="9" t="s">
        <v>1446</v>
      </c>
      <c r="E306" s="10" t="str">
        <f>HYPERLINK("https://twitter.com/Albert_Rivera/status/1071057133142192128","1071057133142192128")</f>
        <v>1071057133142192128</v>
      </c>
      <c r="F306" s="11"/>
      <c r="G306" s="13" t="s">
        <v>752</v>
      </c>
      <c r="H306" s="11"/>
      <c r="I306" s="14">
        <v>692</v>
      </c>
      <c r="J306" s="14">
        <v>1370</v>
      </c>
      <c r="K306" s="15" t="str">
        <f t="shared" si="54"/>
        <v>Twitter for iPhone</v>
      </c>
      <c r="L306" s="14">
        <v>1075808</v>
      </c>
      <c r="M306" s="14">
        <v>2547</v>
      </c>
      <c r="N306" s="14">
        <v>5114</v>
      </c>
      <c r="O306" s="19" t="s">
        <v>42</v>
      </c>
      <c r="P306" s="6">
        <v>40205.748171296298</v>
      </c>
      <c r="Q306" s="12" t="s">
        <v>137</v>
      </c>
      <c r="R306" s="17" t="s">
        <v>450</v>
      </c>
      <c r="S306" s="13" t="s">
        <v>452</v>
      </c>
      <c r="T306" s="11"/>
      <c r="U306" s="10" t="str">
        <f>HYPERLINK("https://pbs.twimg.com/profile_images/1030708936779988993/RncDM4EZ.jpg","View")</f>
        <v>View</v>
      </c>
    </row>
    <row r="307" spans="1:21" ht="20.399999999999999">
      <c r="A307" s="6">
        <v>43441.66715277778</v>
      </c>
      <c r="B307" s="7" t="str">
        <f>HYPERLINK("https://twitter.com/L15051967","@L15051967")</f>
        <v>@L15051967</v>
      </c>
      <c r="C307" s="8" t="s">
        <v>1450</v>
      </c>
      <c r="D307" s="9" t="s">
        <v>225</v>
      </c>
      <c r="E307" s="10" t="str">
        <f>HYPERLINK("https://twitter.com/L15051967/status/1071056916695146501","1071056916695146501")</f>
        <v>1071056916695146501</v>
      </c>
      <c r="F307" s="13" t="s">
        <v>228</v>
      </c>
      <c r="G307" s="11"/>
      <c r="H307" s="11"/>
      <c r="I307" s="14">
        <v>0</v>
      </c>
      <c r="J307" s="14">
        <v>0</v>
      </c>
      <c r="K307" s="15" t="str">
        <f>HYPERLINK("http://twitter.com/download/android","Twitter for Android")</f>
        <v>Twitter for Android</v>
      </c>
      <c r="L307" s="14">
        <v>1641</v>
      </c>
      <c r="M307" s="14">
        <v>1658</v>
      </c>
      <c r="N307" s="14">
        <v>48</v>
      </c>
      <c r="O307" s="16"/>
      <c r="P307" s="6">
        <v>40681.036145833335</v>
      </c>
      <c r="Q307" s="12" t="s">
        <v>1370</v>
      </c>
      <c r="R307" s="18"/>
      <c r="S307" s="11"/>
      <c r="T307" s="11"/>
      <c r="U307" s="10" t="str">
        <f>HYPERLINK("https://pbs.twimg.com/profile_images/454389130227896320/pMPUMiDO.jpeg","View")</f>
        <v>View</v>
      </c>
    </row>
    <row r="308" spans="1:21" ht="51">
      <c r="A308" s="6">
        <v>43441.663240740745</v>
      </c>
      <c r="B308" s="7" t="str">
        <f>HYPERLINK("https://twitter.com/AfectadosAIDA","@AfectadosAIDA")</f>
        <v>@AfectadosAIDA</v>
      </c>
      <c r="C308" s="8" t="s">
        <v>893</v>
      </c>
      <c r="D308" s="9" t="s">
        <v>1102</v>
      </c>
      <c r="E308" s="10" t="str">
        <f>HYPERLINK("https://twitter.com/AfectadosAIDA/status/1071055498466734082","1071055498466734082")</f>
        <v>1071055498466734082</v>
      </c>
      <c r="F308" s="11"/>
      <c r="G308" s="13" t="s">
        <v>1103</v>
      </c>
      <c r="H308" s="11"/>
      <c r="I308" s="14">
        <v>3</v>
      </c>
      <c r="J308" s="14">
        <v>1</v>
      </c>
      <c r="K308" s="15" t="str">
        <f>HYPERLINK("http://twitter.com","Twitter Web Client")</f>
        <v>Twitter Web Client</v>
      </c>
      <c r="L308" s="14">
        <v>1991</v>
      </c>
      <c r="M308" s="14">
        <v>5001</v>
      </c>
      <c r="N308" s="14">
        <v>8</v>
      </c>
      <c r="O308" s="16"/>
      <c r="P308" s="6">
        <v>43142.501956018517</v>
      </c>
      <c r="Q308" s="12" t="s">
        <v>449</v>
      </c>
      <c r="R308" s="17" t="s">
        <v>900</v>
      </c>
      <c r="S308" s="13" t="s">
        <v>901</v>
      </c>
      <c r="T308" s="11"/>
      <c r="U308" s="10" t="str">
        <f>HYPERLINK("https://pbs.twimg.com/profile_images/962650498796048384/RCQ9UHT6.jpg","View")</f>
        <v>View</v>
      </c>
    </row>
    <row r="309" spans="1:21" ht="40.799999999999997">
      <c r="A309" s="6">
        <v>43441.662222222221</v>
      </c>
      <c r="B309" s="7" t="str">
        <f>HYPERLINK("https://twitter.com/TheAnonBrick","@TheAnonBrick")</f>
        <v>@TheAnonBrick</v>
      </c>
      <c r="C309" s="8" t="s">
        <v>1455</v>
      </c>
      <c r="D309" s="9" t="s">
        <v>1456</v>
      </c>
      <c r="E309" s="10" t="str">
        <f>HYPERLINK("https://twitter.com/TheAnonBrick/status/1071055129556738050","1071055129556738050")</f>
        <v>1071055129556738050</v>
      </c>
      <c r="F309" s="13" t="s">
        <v>327</v>
      </c>
      <c r="G309" s="11"/>
      <c r="H309" s="11"/>
      <c r="I309" s="14">
        <v>0</v>
      </c>
      <c r="J309" s="14">
        <v>0</v>
      </c>
      <c r="K309" s="15" t="str">
        <f>HYPERLINK("http://twitter.com/download/android","Twitter for Android")</f>
        <v>Twitter for Android</v>
      </c>
      <c r="L309" s="14">
        <v>663</v>
      </c>
      <c r="M309" s="14">
        <v>1007</v>
      </c>
      <c r="N309" s="14">
        <v>4</v>
      </c>
      <c r="O309" s="16"/>
      <c r="P309" s="6">
        <v>43357.637592592597</v>
      </c>
      <c r="Q309" s="12" t="s">
        <v>1458</v>
      </c>
      <c r="R309" s="17" t="s">
        <v>1459</v>
      </c>
      <c r="S309" s="11"/>
      <c r="T309" s="11"/>
      <c r="U309" s="10" t="str">
        <f>HYPERLINK("https://pbs.twimg.com/profile_images/1062094323842473984/q9tMEuvP.jpg","View")</f>
        <v>View</v>
      </c>
    </row>
    <row r="310" spans="1:21" ht="51">
      <c r="A310" s="6">
        <v>43441.660648148143</v>
      </c>
      <c r="B310" s="7" t="str">
        <f>HYPERLINK("https://twitter.com/fortupa2","@fortupa2")</f>
        <v>@fortupa2</v>
      </c>
      <c r="C310" s="8" t="s">
        <v>1113</v>
      </c>
      <c r="D310" s="9" t="s">
        <v>39</v>
      </c>
      <c r="E310" s="10" t="str">
        <f>HYPERLINK("https://twitter.com/fortupa2/status/1071054557973803008","1071054557973803008")</f>
        <v>1071054557973803008</v>
      </c>
      <c r="F310" s="13" t="s">
        <v>1115</v>
      </c>
      <c r="G310" s="11"/>
      <c r="H310" s="11"/>
      <c r="I310" s="14">
        <v>0</v>
      </c>
      <c r="J310" s="14">
        <v>0</v>
      </c>
      <c r="K310" s="15" t="str">
        <f t="shared" ref="K310:K311" si="55">HYPERLINK("http://twitter.com","Twitter Web Client")</f>
        <v>Twitter Web Client</v>
      </c>
      <c r="L310" s="14">
        <v>67</v>
      </c>
      <c r="M310" s="14">
        <v>514</v>
      </c>
      <c r="N310" s="14">
        <v>0</v>
      </c>
      <c r="O310" s="16"/>
      <c r="P310" s="6">
        <v>41564.78833333333</v>
      </c>
      <c r="Q310" s="12" t="s">
        <v>1116</v>
      </c>
      <c r="R310" s="18"/>
      <c r="S310" s="11"/>
      <c r="T310" s="11"/>
      <c r="U310" s="10" t="str">
        <f>HYPERLINK("https://pbs.twimg.com/profile_images/1066869986168266752/VJX6fPlg.jpg","View")</f>
        <v>View</v>
      </c>
    </row>
    <row r="311" spans="1:21" ht="102">
      <c r="A311" s="6">
        <v>43441.65996527778</v>
      </c>
      <c r="B311" s="7" t="str">
        <f>HYPERLINK("https://twitter.com/_Gafas_y_reloj_","@_Gafas_y_reloj_")</f>
        <v>@_Gafas_y_reloj_</v>
      </c>
      <c r="C311" s="8" t="s">
        <v>284</v>
      </c>
      <c r="D311" s="9" t="s">
        <v>1120</v>
      </c>
      <c r="E311" s="10" t="str">
        <f>HYPERLINK("https://twitter.com/_Gafas_y_reloj_/status/1071054308643364864","1071054308643364864")</f>
        <v>1071054308643364864</v>
      </c>
      <c r="F311" s="12" t="s">
        <v>1124</v>
      </c>
      <c r="G311" s="13" t="s">
        <v>1125</v>
      </c>
      <c r="H311" s="11"/>
      <c r="I311" s="14">
        <v>42</v>
      </c>
      <c r="J311" s="14">
        <v>36</v>
      </c>
      <c r="K311" s="15" t="str">
        <f t="shared" si="55"/>
        <v>Twitter Web Client</v>
      </c>
      <c r="L311" s="14">
        <v>11839</v>
      </c>
      <c r="M311" s="14">
        <v>718</v>
      </c>
      <c r="N311" s="14">
        <v>194</v>
      </c>
      <c r="O311" s="16"/>
      <c r="P311" s="6">
        <v>40803.430173611108</v>
      </c>
      <c r="Q311" s="12" t="s">
        <v>288</v>
      </c>
      <c r="R311" s="17" t="s">
        <v>289</v>
      </c>
      <c r="S311" s="11"/>
      <c r="T311" s="11"/>
      <c r="U311" s="10" t="str">
        <f>HYPERLINK("https://pbs.twimg.com/profile_images/923940667965038593/LEd9tLut.jpg","View")</f>
        <v>View</v>
      </c>
    </row>
    <row r="312" spans="1:21" ht="20.399999999999999">
      <c r="A312" s="6">
        <v>43441.658460648148</v>
      </c>
      <c r="B312" s="7" t="str">
        <f>HYPERLINK("https://twitter.com/lurxxi","@lurxxi")</f>
        <v>@lurxxi</v>
      </c>
      <c r="C312" s="8" t="s">
        <v>1467</v>
      </c>
      <c r="D312" s="9" t="s">
        <v>225</v>
      </c>
      <c r="E312" s="10" t="str">
        <f>HYPERLINK("https://twitter.com/lurxxi/status/1071053763165736963","1071053763165736963")</f>
        <v>1071053763165736963</v>
      </c>
      <c r="F312" s="13" t="s">
        <v>228</v>
      </c>
      <c r="G312" s="11"/>
      <c r="H312" s="11"/>
      <c r="I312" s="14">
        <v>0</v>
      </c>
      <c r="J312" s="14">
        <v>0</v>
      </c>
      <c r="K312" s="15" t="str">
        <f>HYPERLINK("http://twitter.com/download/iphone","Twitter for iPhone")</f>
        <v>Twitter for iPhone</v>
      </c>
      <c r="L312" s="14">
        <v>61</v>
      </c>
      <c r="M312" s="14">
        <v>322</v>
      </c>
      <c r="N312" s="14">
        <v>3</v>
      </c>
      <c r="O312" s="16"/>
      <c r="P312" s="6">
        <v>41977.471122685187</v>
      </c>
      <c r="Q312" s="12" t="s">
        <v>1469</v>
      </c>
      <c r="R312" s="17" t="s">
        <v>1470</v>
      </c>
      <c r="S312" s="11"/>
      <c r="T312" s="11"/>
      <c r="U312" s="10" t="str">
        <f>HYPERLINK("https://pbs.twimg.com/profile_images/844669503539744769/8bp-_qJ1.jpg","View")</f>
        <v>View</v>
      </c>
    </row>
    <row r="313" spans="1:21" ht="20.399999999999999">
      <c r="A313" s="6">
        <v>43441.65115740741</v>
      </c>
      <c r="B313" s="7" t="str">
        <f>HYPERLINK("https://twitter.com/negativo_stats","@negativo_stats")</f>
        <v>@negativo_stats</v>
      </c>
      <c r="C313" s="8" t="s">
        <v>171</v>
      </c>
      <c r="D313" s="9" t="s">
        <v>172</v>
      </c>
      <c r="E313" s="10" t="str">
        <f>HYPERLINK("https://twitter.com/negativo_stats/status/1071051116727754752","1071051116727754752")</f>
        <v>1071051116727754752</v>
      </c>
      <c r="F313" s="11"/>
      <c r="G313" s="13" t="s">
        <v>1129</v>
      </c>
      <c r="H313" s="11"/>
      <c r="I313" s="14">
        <v>0</v>
      </c>
      <c r="J313" s="14">
        <v>0</v>
      </c>
      <c r="K313" s="15" t="str">
        <f>HYPERLINK("http://kosmonautica.es","Política Negativa")</f>
        <v>Política Negativa</v>
      </c>
      <c r="L313" s="14">
        <v>268</v>
      </c>
      <c r="M313" s="14">
        <v>788</v>
      </c>
      <c r="N313" s="14">
        <v>2</v>
      </c>
      <c r="O313" s="16"/>
      <c r="P313" s="6">
        <v>42171.770601851851</v>
      </c>
      <c r="Q313" s="12" t="s">
        <v>60</v>
      </c>
      <c r="R313" s="17" t="s">
        <v>174</v>
      </c>
      <c r="S313" s="11"/>
      <c r="T313" s="11"/>
      <c r="U313" s="10" t="str">
        <f>HYPERLINK("https://pbs.twimg.com/profile_images/628553625984438272/e-VHyhP1.png","View")</f>
        <v>View</v>
      </c>
    </row>
    <row r="314" spans="1:21" ht="102">
      <c r="A314" s="6">
        <v>43441.649525462963</v>
      </c>
      <c r="B314" s="7" t="str">
        <f>HYPERLINK("https://twitter.com/JoaquinStrummer","@JoaquinStrummer")</f>
        <v>@JoaquinStrummer</v>
      </c>
      <c r="C314" s="8" t="s">
        <v>1473</v>
      </c>
      <c r="D314" s="9" t="s">
        <v>1474</v>
      </c>
      <c r="E314" s="10" t="str">
        <f>HYPERLINK("https://twitter.com/JoaquinStrummer/status/1071050526534590465","1071050526534590465")</f>
        <v>1071050526534590465</v>
      </c>
      <c r="F314" s="13" t="s">
        <v>1476</v>
      </c>
      <c r="G314" s="13" t="s">
        <v>1477</v>
      </c>
      <c r="H314" s="11"/>
      <c r="I314" s="14">
        <v>0</v>
      </c>
      <c r="J314" s="14">
        <v>1</v>
      </c>
      <c r="K314" s="15" t="str">
        <f>HYPERLINK("http://twitter.com","Twitter Web Client")</f>
        <v>Twitter Web Client</v>
      </c>
      <c r="L314" s="14">
        <v>773</v>
      </c>
      <c r="M314" s="14">
        <v>1510</v>
      </c>
      <c r="N314" s="14">
        <v>11</v>
      </c>
      <c r="O314" s="16"/>
      <c r="P314" s="6">
        <v>41046.012673611112</v>
      </c>
      <c r="Q314" s="12" t="s">
        <v>1478</v>
      </c>
      <c r="R314" s="17" t="s">
        <v>1479</v>
      </c>
      <c r="S314" s="11"/>
      <c r="T314" s="11"/>
      <c r="U314" s="10" t="str">
        <f>HYPERLINK("https://pbs.twimg.com/profile_images/1021884495421681665/gA73snOs.jpg","View")</f>
        <v>View</v>
      </c>
    </row>
    <row r="315" spans="1:21" ht="81.599999999999994">
      <c r="A315" s="6">
        <v>43441.6487962963</v>
      </c>
      <c r="B315" s="7" t="str">
        <f>HYPERLINK("https://twitter.com/sudesusanita","@sudesusanita")</f>
        <v>@sudesusanita</v>
      </c>
      <c r="C315" s="8" t="s">
        <v>1130</v>
      </c>
      <c r="D315" s="9" t="s">
        <v>1131</v>
      </c>
      <c r="E315" s="10" t="str">
        <f>HYPERLINK("https://twitter.com/sudesusanita/status/1071050263107117056","1071050263107117056")</f>
        <v>1071050263107117056</v>
      </c>
      <c r="F315" s="12" t="s">
        <v>1132</v>
      </c>
      <c r="G315" s="13" t="s">
        <v>1133</v>
      </c>
      <c r="H315" s="11"/>
      <c r="I315" s="14">
        <v>2</v>
      </c>
      <c r="J315" s="14">
        <v>7</v>
      </c>
      <c r="K315" s="15" t="str">
        <f>HYPERLINK("http://twitter.com/download/android","Twitter for Android")</f>
        <v>Twitter for Android</v>
      </c>
      <c r="L315" s="14">
        <v>290</v>
      </c>
      <c r="M315" s="14">
        <v>260</v>
      </c>
      <c r="N315" s="14">
        <v>6</v>
      </c>
      <c r="O315" s="16"/>
      <c r="P315" s="6">
        <v>41001.408356481479</v>
      </c>
      <c r="Q315" s="12" t="s">
        <v>1134</v>
      </c>
      <c r="R315" s="17" t="s">
        <v>1135</v>
      </c>
      <c r="S315" s="11"/>
      <c r="T315" s="11"/>
      <c r="U315" s="10" t="str">
        <f>HYPERLINK("https://pbs.twimg.com/profile_images/576854112450531329/zEPIPTkd.jpeg","View")</f>
        <v>View</v>
      </c>
    </row>
    <row r="316" spans="1:21" ht="51">
      <c r="A316" s="6">
        <v>43441.645243055551</v>
      </c>
      <c r="B316" s="7" t="str">
        <f>HYPERLINK("https://twitter.com/migupelo2","@migupelo2")</f>
        <v>@migupelo2</v>
      </c>
      <c r="C316" s="8" t="s">
        <v>907</v>
      </c>
      <c r="D316" s="9" t="s">
        <v>1138</v>
      </c>
      <c r="E316" s="10" t="str">
        <f>HYPERLINK("https://twitter.com/migupelo2/status/1071048977318068225","1071048977318068225")</f>
        <v>1071048977318068225</v>
      </c>
      <c r="F316" s="13" t="s">
        <v>1139</v>
      </c>
      <c r="G316" s="11"/>
      <c r="H316" s="11"/>
      <c r="I316" s="14">
        <v>0</v>
      </c>
      <c r="J316" s="14">
        <v>0</v>
      </c>
      <c r="K316" s="15" t="str">
        <f>HYPERLINK("http://twitter.com","Twitter Web Client")</f>
        <v>Twitter Web Client</v>
      </c>
      <c r="L316" s="14">
        <v>266</v>
      </c>
      <c r="M316" s="14">
        <v>771</v>
      </c>
      <c r="N316" s="14">
        <v>18</v>
      </c>
      <c r="O316" s="16"/>
      <c r="P316" s="6">
        <v>40477.868043981478</v>
      </c>
      <c r="Q316" s="11"/>
      <c r="R316" s="17" t="s">
        <v>914</v>
      </c>
      <c r="S316" s="11"/>
      <c r="T316" s="11"/>
      <c r="U316" s="10" t="str">
        <f>HYPERLINK("https://pbs.twimg.com/profile_images/2906316440/4ed1570f50fd6f70f1b28d458997dd81.jpeg","View")</f>
        <v>View</v>
      </c>
    </row>
    <row r="317" spans="1:21" ht="51">
      <c r="A317" s="6">
        <v>43441.641041666662</v>
      </c>
      <c r="B317" s="7" t="str">
        <f>HYPERLINK("https://twitter.com/bobkomyns_","@bobkomyns_")</f>
        <v>@bobkomyns_</v>
      </c>
      <c r="C317" s="8" t="s">
        <v>1140</v>
      </c>
      <c r="D317" s="9" t="s">
        <v>1141</v>
      </c>
      <c r="E317" s="10" t="str">
        <f>HYPERLINK("https://twitter.com/bobkomyns_/status/1071047452885696512","1071047452885696512")</f>
        <v>1071047452885696512</v>
      </c>
      <c r="F317" s="11"/>
      <c r="G317" s="11"/>
      <c r="H317" s="11"/>
      <c r="I317" s="14">
        <v>0</v>
      </c>
      <c r="J317" s="14">
        <v>0</v>
      </c>
      <c r="K317" s="15" t="str">
        <f>HYPERLINK("http://twitter.com/download/android","Twitter for Android")</f>
        <v>Twitter for Android</v>
      </c>
      <c r="L317" s="14">
        <v>146</v>
      </c>
      <c r="M317" s="14">
        <v>363</v>
      </c>
      <c r="N317" s="14">
        <v>5</v>
      </c>
      <c r="O317" s="16"/>
      <c r="P317" s="6">
        <v>41983.567800925928</v>
      </c>
      <c r="Q317" s="12" t="s">
        <v>29</v>
      </c>
      <c r="R317" s="17" t="s">
        <v>1146</v>
      </c>
      <c r="S317" s="11"/>
      <c r="T317" s="11"/>
      <c r="U317" s="10" t="str">
        <f>HYPERLINK("https://pbs.twimg.com/profile_images/1042715681903570944/sUnbUTs-.jpg","View")</f>
        <v>View</v>
      </c>
    </row>
    <row r="318" spans="1:21" ht="40.799999999999997">
      <c r="A318" s="6">
        <v>43441.640902777777</v>
      </c>
      <c r="B318" s="7" t="str">
        <f>HYPERLINK("https://twitter.com/luposinister666","@luposinister666")</f>
        <v>@luposinister666</v>
      </c>
      <c r="C318" s="8" t="s">
        <v>1485</v>
      </c>
      <c r="D318" s="9" t="s">
        <v>1486</v>
      </c>
      <c r="E318" s="10" t="str">
        <f>HYPERLINK("https://twitter.com/luposinister666/status/1071047401589366784","1071047401589366784")</f>
        <v>1071047401589366784</v>
      </c>
      <c r="F318" s="11"/>
      <c r="G318" s="11"/>
      <c r="H318" s="11"/>
      <c r="I318" s="14">
        <v>1</v>
      </c>
      <c r="J318" s="14">
        <v>1</v>
      </c>
      <c r="K318" s="15" t="str">
        <f>HYPERLINK("http://twitter.com","Twitter Web Client")</f>
        <v>Twitter Web Client</v>
      </c>
      <c r="L318" s="14">
        <v>1943</v>
      </c>
      <c r="M318" s="14">
        <v>3020</v>
      </c>
      <c r="N318" s="14">
        <v>6</v>
      </c>
      <c r="O318" s="16"/>
      <c r="P318" s="6">
        <v>42128.537129629629</v>
      </c>
      <c r="Q318" s="11"/>
      <c r="R318" s="17" t="s">
        <v>1490</v>
      </c>
      <c r="S318" s="11"/>
      <c r="T318" s="11"/>
      <c r="U318" s="10" t="str">
        <f>HYPERLINK("https://pbs.twimg.com/profile_images/1015189268636061696/W89CSRIW.jpg","View")</f>
        <v>View</v>
      </c>
    </row>
    <row r="319" spans="1:21" ht="112.2">
      <c r="A319" s="6">
        <v>43441.638333333336</v>
      </c>
      <c r="B319" s="7" t="str">
        <f>HYPERLINK("https://twitter.com/jeronimoaznar","@jeronimoaznar")</f>
        <v>@jeronimoaznar</v>
      </c>
      <c r="C319" s="8" t="s">
        <v>976</v>
      </c>
      <c r="D319" s="9" t="s">
        <v>1147</v>
      </c>
      <c r="E319" s="10" t="str">
        <f>HYPERLINK("https://twitter.com/jeronimoaznar/status/1071046469975728128","1071046469975728128")</f>
        <v>1071046469975728128</v>
      </c>
      <c r="F319" s="13" t="s">
        <v>1148</v>
      </c>
      <c r="G319" s="11"/>
      <c r="H319" s="11"/>
      <c r="I319" s="14">
        <v>15</v>
      </c>
      <c r="J319" s="14">
        <v>13</v>
      </c>
      <c r="K319" s="15" t="str">
        <f>HYPERLINK("http://twitter.com/download/android","Twitter for Android")</f>
        <v>Twitter for Android</v>
      </c>
      <c r="L319" s="14">
        <v>59</v>
      </c>
      <c r="M319" s="14">
        <v>99</v>
      </c>
      <c r="N319" s="14">
        <v>0</v>
      </c>
      <c r="O319" s="16"/>
      <c r="P319" s="6">
        <v>40599.709803240738</v>
      </c>
      <c r="Q319" s="12" t="s">
        <v>979</v>
      </c>
      <c r="R319" s="18"/>
      <c r="S319" s="11"/>
      <c r="T319" s="11"/>
      <c r="U319" s="10" t="str">
        <f>HYPERLINK("https://pbs.twimg.com/profile_images/1067748687265316864/jfTgUoYF.jpg","View")</f>
        <v>View</v>
      </c>
    </row>
    <row r="320" spans="1:21" ht="20.399999999999999">
      <c r="A320" s="6">
        <v>43441.636354166665</v>
      </c>
      <c r="B320" s="7" t="str">
        <f>HYPERLINK("https://twitter.com/jmcarpin1","@jmcarpin1")</f>
        <v>@jmcarpin1</v>
      </c>
      <c r="C320" s="8" t="s">
        <v>1493</v>
      </c>
      <c r="D320" s="9" t="s">
        <v>225</v>
      </c>
      <c r="E320" s="10" t="str">
        <f>HYPERLINK("https://twitter.com/jmcarpin1/status/1071045752464572417","1071045752464572417")</f>
        <v>1071045752464572417</v>
      </c>
      <c r="F320" s="13" t="s">
        <v>228</v>
      </c>
      <c r="G320" s="11"/>
      <c r="H320" s="11"/>
      <c r="I320" s="14">
        <v>0</v>
      </c>
      <c r="J320" s="14">
        <v>0</v>
      </c>
      <c r="K320" s="15" t="str">
        <f>HYPERLINK("http://www.facebook.com/twitter","Facebook")</f>
        <v>Facebook</v>
      </c>
      <c r="L320" s="14">
        <v>106</v>
      </c>
      <c r="M320" s="14">
        <v>567</v>
      </c>
      <c r="N320" s="14">
        <v>1</v>
      </c>
      <c r="O320" s="16"/>
      <c r="P320" s="6">
        <v>40927.704699074078</v>
      </c>
      <c r="Q320" s="11"/>
      <c r="R320" s="18"/>
      <c r="S320" s="11"/>
      <c r="T320" s="11"/>
      <c r="U320" s="10" t="str">
        <f>HYPERLINK("https://pbs.twimg.com/profile_images/776076646281543680/WYFfxwfz.jpg","View")</f>
        <v>View</v>
      </c>
    </row>
    <row r="321" spans="1:21" ht="61.2">
      <c r="A321" s="6">
        <v>43441.635972222226</v>
      </c>
      <c r="B321" s="7" t="str">
        <f>HYPERLINK("https://twitter.com/alo123probando","@alo123probando")</f>
        <v>@alo123probando</v>
      </c>
      <c r="C321" s="8" t="s">
        <v>1153</v>
      </c>
      <c r="D321" s="9" t="s">
        <v>1154</v>
      </c>
      <c r="E321" s="10" t="str">
        <f>HYPERLINK("https://twitter.com/alo123probando/status/1071045615726063621","1071045615726063621")</f>
        <v>1071045615726063621</v>
      </c>
      <c r="F321" s="13" t="s">
        <v>1156</v>
      </c>
      <c r="G321" s="13" t="s">
        <v>1159</v>
      </c>
      <c r="H321" s="11"/>
      <c r="I321" s="14">
        <v>0</v>
      </c>
      <c r="J321" s="14">
        <v>0</v>
      </c>
      <c r="K321" s="15" t="str">
        <f>HYPERLINK("http://twitter.com/download/iphone","Twitter for iPhone")</f>
        <v>Twitter for iPhone</v>
      </c>
      <c r="L321" s="14">
        <v>231</v>
      </c>
      <c r="M321" s="14">
        <v>609</v>
      </c>
      <c r="N321" s="14">
        <v>6</v>
      </c>
      <c r="O321" s="16"/>
      <c r="P321" s="6">
        <v>40371.838368055556</v>
      </c>
      <c r="Q321" s="12" t="s">
        <v>1161</v>
      </c>
      <c r="R321" s="17" t="s">
        <v>1163</v>
      </c>
      <c r="S321" s="11"/>
      <c r="T321" s="11"/>
      <c r="U321" s="10" t="str">
        <f>HYPERLINK("https://pbs.twimg.com/profile_images/1535461361/finisterre.jpg","View")</f>
        <v>View</v>
      </c>
    </row>
    <row r="322" spans="1:21" ht="61.2">
      <c r="A322" s="6">
        <v>43441.633854166663</v>
      </c>
      <c r="B322" s="7" t="str">
        <f>HYPERLINK("https://twitter.com/Fouche_1793","@Fouche_1793")</f>
        <v>@Fouche_1793</v>
      </c>
      <c r="C322" s="8" t="s">
        <v>1165</v>
      </c>
      <c r="D322" s="9" t="s">
        <v>1166</v>
      </c>
      <c r="E322" s="10" t="str">
        <f>HYPERLINK("https://twitter.com/Fouche_1793/status/1071044848420044800","1071044848420044800")</f>
        <v>1071044848420044800</v>
      </c>
      <c r="F322" s="13" t="s">
        <v>1167</v>
      </c>
      <c r="G322" s="13" t="s">
        <v>1170</v>
      </c>
      <c r="H322" s="11"/>
      <c r="I322" s="14">
        <v>0</v>
      </c>
      <c r="J322" s="14">
        <v>0</v>
      </c>
      <c r="K322" s="15" t="str">
        <f>HYPERLINK("https://mobile.twitter.com","Twitter Lite")</f>
        <v>Twitter Lite</v>
      </c>
      <c r="L322" s="14">
        <v>68</v>
      </c>
      <c r="M322" s="14">
        <v>208</v>
      </c>
      <c r="N322" s="14">
        <v>0</v>
      </c>
      <c r="O322" s="16"/>
      <c r="P322" s="6">
        <v>43004.469224537039</v>
      </c>
      <c r="Q322" s="11"/>
      <c r="R322" s="17" t="s">
        <v>1173</v>
      </c>
      <c r="S322" s="11"/>
      <c r="T322" s="11"/>
      <c r="U322" s="10" t="str">
        <f>HYPERLINK("https://pbs.twimg.com/profile_images/912607742753492993/oNpMl-TZ.jpg","View")</f>
        <v>View</v>
      </c>
    </row>
    <row r="323" spans="1:21" ht="51">
      <c r="A323" s="6">
        <v>43441.630532407406</v>
      </c>
      <c r="B323" s="7" t="str">
        <f>HYPERLINK("https://twitter.com/arsfilosofo","@arsfilosofo")</f>
        <v>@arsfilosofo</v>
      </c>
      <c r="C323" s="8" t="s">
        <v>1174</v>
      </c>
      <c r="D323" s="9" t="s">
        <v>39</v>
      </c>
      <c r="E323" s="10" t="str">
        <f>HYPERLINK("https://twitter.com/arsfilosofo/status/1071043644860309504","1071043644860309504")</f>
        <v>1071043644860309504</v>
      </c>
      <c r="F323" s="13" t="s">
        <v>1175</v>
      </c>
      <c r="G323" s="11"/>
      <c r="H323" s="11"/>
      <c r="I323" s="14">
        <v>0</v>
      </c>
      <c r="J323" s="14">
        <v>0</v>
      </c>
      <c r="K323" s="15" t="str">
        <f>HYPERLINK("http://twitter.com/download/iphone","Twitter for iPhone")</f>
        <v>Twitter for iPhone</v>
      </c>
      <c r="L323" s="14">
        <v>117</v>
      </c>
      <c r="M323" s="14">
        <v>787</v>
      </c>
      <c r="N323" s="14">
        <v>5</v>
      </c>
      <c r="O323" s="16"/>
      <c r="P323" s="6">
        <v>39811.873067129629</v>
      </c>
      <c r="Q323" s="11"/>
      <c r="R323" s="17" t="s">
        <v>1176</v>
      </c>
      <c r="S323" s="13" t="s">
        <v>1177</v>
      </c>
      <c r="T323" s="11"/>
      <c r="U323" s="10" t="str">
        <f>HYPERLINK("https://pbs.twimg.com/profile_images/68925933/4511.jpg","View")</f>
        <v>View</v>
      </c>
    </row>
    <row r="324" spans="1:21" ht="81.599999999999994">
      <c r="A324" s="6">
        <v>43441.6253125</v>
      </c>
      <c r="B324" s="7" t="str">
        <f>HYPERLINK("https://twitter.com/BancajaEstafa","@BancajaEstafa")</f>
        <v>@BancajaEstafa</v>
      </c>
      <c r="C324" s="8" t="s">
        <v>1178</v>
      </c>
      <c r="D324" s="9" t="s">
        <v>1179</v>
      </c>
      <c r="E324" s="10" t="str">
        <f>HYPERLINK("https://twitter.com/BancajaEstafa/status/1071041752658796549","1071041752658796549")</f>
        <v>1071041752658796549</v>
      </c>
      <c r="F324" s="12" t="s">
        <v>1181</v>
      </c>
      <c r="G324" s="11"/>
      <c r="H324" s="11"/>
      <c r="I324" s="14">
        <v>0</v>
      </c>
      <c r="J324" s="14">
        <v>1</v>
      </c>
      <c r="K324" s="15" t="str">
        <f>HYPERLINK("http://twitter.com","Twitter Web Client")</f>
        <v>Twitter Web Client</v>
      </c>
      <c r="L324" s="14">
        <v>1189</v>
      </c>
      <c r="M324" s="14">
        <v>4999</v>
      </c>
      <c r="N324" s="14">
        <v>28</v>
      </c>
      <c r="O324" s="16"/>
      <c r="P324" s="6">
        <v>42189.936469907407</v>
      </c>
      <c r="Q324" s="12" t="s">
        <v>1184</v>
      </c>
      <c r="R324" s="17" t="s">
        <v>1185</v>
      </c>
      <c r="S324" s="11"/>
      <c r="T324" s="11"/>
      <c r="U324" s="10" t="str">
        <f>HYPERLINK("https://pbs.twimg.com/profile_images/623951932156215296/vJAxlHSS.jpg","View")</f>
        <v>View</v>
      </c>
    </row>
    <row r="325" spans="1:21" ht="40.799999999999997">
      <c r="A325" s="6">
        <v>43441.622881944444</v>
      </c>
      <c r="B325" s="7" t="str">
        <f>HYPERLINK("https://twitter.com/Vicariusx","@Vicariusx")</f>
        <v>@Vicariusx</v>
      </c>
      <c r="C325" s="8" t="s">
        <v>1511</v>
      </c>
      <c r="D325" s="9" t="s">
        <v>1512</v>
      </c>
      <c r="E325" s="10" t="str">
        <f>HYPERLINK("https://twitter.com/Vicariusx/status/1071040872077250562","1071040872077250562")</f>
        <v>1071040872077250562</v>
      </c>
      <c r="F325" s="11"/>
      <c r="G325" s="11"/>
      <c r="H325" s="11"/>
      <c r="I325" s="14">
        <v>5</v>
      </c>
      <c r="J325" s="14">
        <v>11</v>
      </c>
      <c r="K325" s="15" t="str">
        <f t="shared" ref="K325:K326" si="56">HYPERLINK("http://twitter.com/download/android","Twitter for Android")</f>
        <v>Twitter for Android</v>
      </c>
      <c r="L325" s="14">
        <v>668</v>
      </c>
      <c r="M325" s="14">
        <v>2249</v>
      </c>
      <c r="N325" s="14">
        <v>8</v>
      </c>
      <c r="O325" s="16"/>
      <c r="P325" s="6">
        <v>40766.679224537038</v>
      </c>
      <c r="Q325" s="12" t="s">
        <v>1515</v>
      </c>
      <c r="R325" s="17" t="s">
        <v>1516</v>
      </c>
      <c r="S325" s="11"/>
      <c r="T325" s="11"/>
      <c r="U325" s="10" t="str">
        <f>HYPERLINK("https://pbs.twimg.com/profile_images/1008011225576468486/eA742x-u.jpg","View")</f>
        <v>View</v>
      </c>
    </row>
    <row r="326" spans="1:21" ht="71.400000000000006">
      <c r="A326" s="6">
        <v>43441.622233796297</v>
      </c>
      <c r="B326" s="7" t="str">
        <f>HYPERLINK("https://twitter.com/JoseLuisdelRio9","@JoseLuisdelRio9")</f>
        <v>@JoseLuisdelRio9</v>
      </c>
      <c r="C326" s="8" t="s">
        <v>1519</v>
      </c>
      <c r="D326" s="9" t="s">
        <v>1520</v>
      </c>
      <c r="E326" s="10" t="str">
        <f>HYPERLINK("https://twitter.com/JoseLuisdelRio9/status/1071040635304595456","1071040635304595456")</f>
        <v>1071040635304595456</v>
      </c>
      <c r="F326" s="13" t="s">
        <v>1523</v>
      </c>
      <c r="G326" s="11"/>
      <c r="H326" s="11"/>
      <c r="I326" s="14">
        <v>0</v>
      </c>
      <c r="J326" s="14">
        <v>1</v>
      </c>
      <c r="K326" s="15" t="str">
        <f t="shared" si="56"/>
        <v>Twitter for Android</v>
      </c>
      <c r="L326" s="14">
        <v>1806</v>
      </c>
      <c r="M326" s="14">
        <v>2598</v>
      </c>
      <c r="N326" s="14">
        <v>11</v>
      </c>
      <c r="O326" s="16"/>
      <c r="P326" s="6">
        <v>41780.701782407406</v>
      </c>
      <c r="Q326" s="11"/>
      <c r="R326" s="18"/>
      <c r="S326" s="11"/>
      <c r="T326" s="11"/>
      <c r="U326" s="10" t="str">
        <f>HYPERLINK("https://pbs.twimg.com/profile_images/774235564761616384/v8tceDLo.jpg","View")</f>
        <v>View</v>
      </c>
    </row>
    <row r="327" spans="1:21" ht="20.399999999999999">
      <c r="A327" s="6">
        <v>43441.621701388889</v>
      </c>
      <c r="B327" s="7" t="str">
        <f>HYPERLINK("https://twitter.com/PJamuz","@PJamuz")</f>
        <v>@PJamuz</v>
      </c>
      <c r="C327" s="8" t="s">
        <v>1526</v>
      </c>
      <c r="D327" s="9" t="s">
        <v>225</v>
      </c>
      <c r="E327" s="10" t="str">
        <f>HYPERLINK("https://twitter.com/PJamuz/status/1071040442760859650","1071040442760859650")</f>
        <v>1071040442760859650</v>
      </c>
      <c r="F327" s="13" t="s">
        <v>228</v>
      </c>
      <c r="G327" s="11"/>
      <c r="H327" s="11"/>
      <c r="I327" s="14">
        <v>11</v>
      </c>
      <c r="J327" s="14">
        <v>10</v>
      </c>
      <c r="K327" s="15" t="str">
        <f>HYPERLINK("http://twitter.com/download/iphone","Twitter for iPhone")</f>
        <v>Twitter for iPhone</v>
      </c>
      <c r="L327" s="14">
        <v>26</v>
      </c>
      <c r="M327" s="14">
        <v>127</v>
      </c>
      <c r="N327" s="14">
        <v>0</v>
      </c>
      <c r="O327" s="16"/>
      <c r="P327" s="6">
        <v>43441.030462962968</v>
      </c>
      <c r="Q327" s="12" t="s">
        <v>1529</v>
      </c>
      <c r="R327" s="17" t="s">
        <v>1530</v>
      </c>
      <c r="S327" s="11"/>
      <c r="T327" s="11"/>
      <c r="U327" s="10" t="str">
        <f>HYPERLINK("https://pbs.twimg.com/profile_images/1070842555695329283/4fIx9c4Q.jpg","View")</f>
        <v>View</v>
      </c>
    </row>
    <row r="328" spans="1:21" ht="40.799999999999997">
      <c r="A328" s="6">
        <v>43441.619456018518</v>
      </c>
      <c r="B328" s="7" t="str">
        <f>HYPERLINK("https://twitter.com/mikelcallejo","@mikelcallejo")</f>
        <v>@mikelcallejo</v>
      </c>
      <c r="C328" s="8" t="s">
        <v>1535</v>
      </c>
      <c r="D328" s="9" t="s">
        <v>1536</v>
      </c>
      <c r="E328" s="10" t="str">
        <f>HYPERLINK("https://twitter.com/mikelcallejo/status/1071039631582486528","1071039631582486528")</f>
        <v>1071039631582486528</v>
      </c>
      <c r="F328" s="13" t="s">
        <v>327</v>
      </c>
      <c r="G328" s="11"/>
      <c r="H328" s="11"/>
      <c r="I328" s="14">
        <v>0</v>
      </c>
      <c r="J328" s="14">
        <v>0</v>
      </c>
      <c r="K328" s="15" t="str">
        <f>HYPERLINK("http://twitter.com/download/android","Twitter for Android")</f>
        <v>Twitter for Android</v>
      </c>
      <c r="L328" s="14">
        <v>374</v>
      </c>
      <c r="M328" s="14">
        <v>954</v>
      </c>
      <c r="N328" s="14">
        <v>28</v>
      </c>
      <c r="O328" s="16"/>
      <c r="P328" s="6">
        <v>40183.725057870368</v>
      </c>
      <c r="Q328" s="12" t="s">
        <v>774</v>
      </c>
      <c r="R328" s="17" t="s">
        <v>1538</v>
      </c>
      <c r="S328" s="11"/>
      <c r="T328" s="11"/>
      <c r="U328" s="10" t="str">
        <f>HYPERLINK("https://pbs.twimg.com/profile_images/668496439492927489/eIiBi3UH.jpg","View")</f>
        <v>View</v>
      </c>
    </row>
    <row r="329" spans="1:21" ht="40.799999999999997">
      <c r="A329" s="6">
        <v>43441.619444444441</v>
      </c>
      <c r="B329" s="7" t="str">
        <f>HYPERLINK("https://twitter.com/hazteoir","@hazteoir")</f>
        <v>@hazteoir</v>
      </c>
      <c r="C329" s="21" t="s">
        <v>1186</v>
      </c>
      <c r="D329" s="9" t="s">
        <v>1187</v>
      </c>
      <c r="E329" s="10" t="str">
        <f>HYPERLINK("https://twitter.com/hazteoir/status/1071039625542553600","1071039625542553600")</f>
        <v>1071039625542553600</v>
      </c>
      <c r="F329" s="13" t="s">
        <v>511</v>
      </c>
      <c r="G329" s="11"/>
      <c r="H329" s="11"/>
      <c r="I329" s="14">
        <v>12</v>
      </c>
      <c r="J329" s="14">
        <v>10</v>
      </c>
      <c r="K329" s="15" t="str">
        <f>HYPERLINK("https://about.twitter.com/products/tweetdeck","TweetDeck")</f>
        <v>TweetDeck</v>
      </c>
      <c r="L329" s="14">
        <v>51973</v>
      </c>
      <c r="M329" s="14">
        <v>1301</v>
      </c>
      <c r="N329" s="14">
        <v>651</v>
      </c>
      <c r="O329" s="19" t="s">
        <v>42</v>
      </c>
      <c r="P329" s="6">
        <v>39651.47347222222</v>
      </c>
      <c r="Q329" s="12" t="s">
        <v>1190</v>
      </c>
      <c r="R329" s="17" t="s">
        <v>1191</v>
      </c>
      <c r="S329" s="13" t="s">
        <v>1193</v>
      </c>
      <c r="T329" s="11"/>
      <c r="U329" s="10" t="str">
        <f>HYPERLINK("https://pbs.twimg.com/profile_images/506865978957783040/6Lq5KMRq.png","View")</f>
        <v>View</v>
      </c>
    </row>
    <row r="330" spans="1:21" ht="40.799999999999997">
      <c r="A330" s="6">
        <v>43441.615601851852</v>
      </c>
      <c r="B330" s="7" t="str">
        <f>HYPERLINK("https://twitter.com/linarestc","@linarestc")</f>
        <v>@linarestc</v>
      </c>
      <c r="C330" s="8" t="s">
        <v>1540</v>
      </c>
      <c r="D330" s="9" t="s">
        <v>1541</v>
      </c>
      <c r="E330" s="10" t="str">
        <f>HYPERLINK("https://twitter.com/linarestc/status/1071038233851674624","1071038233851674624")</f>
        <v>1071038233851674624</v>
      </c>
      <c r="F330" s="13" t="s">
        <v>1542</v>
      </c>
      <c r="G330" s="13" t="s">
        <v>1543</v>
      </c>
      <c r="H330" s="11"/>
      <c r="I330" s="14">
        <v>0</v>
      </c>
      <c r="J330" s="14">
        <v>2</v>
      </c>
      <c r="K330" s="15" t="str">
        <f>HYPERLINK("http://twitter.com/download/android","Twitter for Android")</f>
        <v>Twitter for Android</v>
      </c>
      <c r="L330" s="14">
        <v>644</v>
      </c>
      <c r="M330" s="14">
        <v>1362</v>
      </c>
      <c r="N330" s="14">
        <v>11</v>
      </c>
      <c r="O330" s="16"/>
      <c r="P330" s="6">
        <v>40866.645497685182</v>
      </c>
      <c r="Q330" s="12" t="s">
        <v>1544</v>
      </c>
      <c r="R330" s="17" t="s">
        <v>1545</v>
      </c>
      <c r="S330" s="13" t="s">
        <v>1546</v>
      </c>
      <c r="T330" s="11"/>
      <c r="U330" s="10" t="str">
        <f>HYPERLINK("https://pbs.twimg.com/profile_images/904341831315582976/S7rvKEFy.jpg","View")</f>
        <v>View</v>
      </c>
    </row>
    <row r="331" spans="1:21" ht="30.6">
      <c r="A331" s="6">
        <v>43441.61105324074</v>
      </c>
      <c r="B331" s="7" t="str">
        <f>HYPERLINK("https://twitter.com/eldiarioes","@eldiarioes")</f>
        <v>@eldiarioes</v>
      </c>
      <c r="C331" s="21" t="s">
        <v>1547</v>
      </c>
      <c r="D331" s="9" t="s">
        <v>1387</v>
      </c>
      <c r="E331" s="10" t="str">
        <f>HYPERLINK("https://twitter.com/eldiarioes/status/1071036583933956097","1071036583933956097")</f>
        <v>1071036583933956097</v>
      </c>
      <c r="F331" s="13" t="s">
        <v>1388</v>
      </c>
      <c r="G331" s="13" t="s">
        <v>1389</v>
      </c>
      <c r="H331" s="11"/>
      <c r="I331" s="14">
        <v>16</v>
      </c>
      <c r="J331" s="14">
        <v>23</v>
      </c>
      <c r="K331" s="15" t="str">
        <f>HYPERLINK("https://about.twitter.com/products/tweetdeck","TweetDeck")</f>
        <v>TweetDeck</v>
      </c>
      <c r="L331" s="14">
        <v>940167</v>
      </c>
      <c r="M331" s="14">
        <v>456</v>
      </c>
      <c r="N331" s="14">
        <v>11261</v>
      </c>
      <c r="O331" s="19" t="s">
        <v>42</v>
      </c>
      <c r="P331" s="6">
        <v>40992.839189814811</v>
      </c>
      <c r="Q331" s="11"/>
      <c r="R331" s="17" t="s">
        <v>1550</v>
      </c>
      <c r="S331" s="13" t="s">
        <v>1551</v>
      </c>
      <c r="T331" s="11"/>
      <c r="U331" s="10" t="str">
        <f>HYPERLINK("https://pbs.twimg.com/profile_images/1016600645292511232/eYIkIK2s.jpg","View")</f>
        <v>View</v>
      </c>
    </row>
    <row r="332" spans="1:21" ht="71.400000000000006">
      <c r="A332" s="6">
        <v>43441.610671296294</v>
      </c>
      <c r="B332" s="7" t="str">
        <f>HYPERLINK("https://twitter.com/patxi_infante","@patxi_infante")</f>
        <v>@patxi_infante</v>
      </c>
      <c r="C332" s="8" t="s">
        <v>1555</v>
      </c>
      <c r="D332" s="9" t="s">
        <v>1556</v>
      </c>
      <c r="E332" s="10" t="str">
        <f>HYPERLINK("https://twitter.com/patxi_infante/status/1071036448877539332","1071036448877539332")</f>
        <v>1071036448877539332</v>
      </c>
      <c r="F332" s="13" t="s">
        <v>1355</v>
      </c>
      <c r="G332" s="13" t="s">
        <v>1356</v>
      </c>
      <c r="H332" s="11"/>
      <c r="I332" s="14">
        <v>0</v>
      </c>
      <c r="J332" s="14">
        <v>0</v>
      </c>
      <c r="K332" s="15" t="str">
        <f t="shared" ref="K332:K334" si="57">HYPERLINK("http://twitter.com/download/android","Twitter for Android")</f>
        <v>Twitter for Android</v>
      </c>
      <c r="L332" s="14">
        <v>255</v>
      </c>
      <c r="M332" s="14">
        <v>311</v>
      </c>
      <c r="N332" s="14">
        <v>4</v>
      </c>
      <c r="O332" s="16"/>
      <c r="P332" s="6">
        <v>40527.073877314819</v>
      </c>
      <c r="Q332" s="12" t="s">
        <v>1558</v>
      </c>
      <c r="R332" s="17" t="s">
        <v>1560</v>
      </c>
      <c r="S332" s="11"/>
      <c r="T332" s="11"/>
      <c r="U332" s="10" t="str">
        <f>HYPERLINK("https://pbs.twimg.com/profile_images/1755292082/image__4_.jpg","View")</f>
        <v>View</v>
      </c>
    </row>
    <row r="333" spans="1:21" ht="51">
      <c r="A333" s="6">
        <v>43441.610324074078</v>
      </c>
      <c r="B333" s="7" t="str">
        <f>HYPERLINK("https://twitter.com/AlbertEscuer","@AlbertEscuer")</f>
        <v>@AlbertEscuer</v>
      </c>
      <c r="C333" s="8" t="s">
        <v>1196</v>
      </c>
      <c r="D333" s="9" t="s">
        <v>1197</v>
      </c>
      <c r="E333" s="10" t="str">
        <f>HYPERLINK("https://twitter.com/AlbertEscuer/status/1071036322075369472","1071036322075369472")</f>
        <v>1071036322075369472</v>
      </c>
      <c r="F333" s="11"/>
      <c r="G333" s="13" t="s">
        <v>1198</v>
      </c>
      <c r="H333" s="11"/>
      <c r="I333" s="14">
        <v>0</v>
      </c>
      <c r="J333" s="14">
        <v>3</v>
      </c>
      <c r="K333" s="15" t="str">
        <f t="shared" si="57"/>
        <v>Twitter for Android</v>
      </c>
      <c r="L333" s="14">
        <v>1888</v>
      </c>
      <c r="M333" s="14">
        <v>909</v>
      </c>
      <c r="N333" s="14">
        <v>42</v>
      </c>
      <c r="O333" s="16"/>
      <c r="P333" s="6">
        <v>40760.479722222226</v>
      </c>
      <c r="Q333" s="12" t="s">
        <v>58</v>
      </c>
      <c r="R333" s="17" t="s">
        <v>1199</v>
      </c>
      <c r="S333" s="11"/>
      <c r="T333" s="11"/>
      <c r="U333" s="10" t="str">
        <f>HYPERLINK("https://pbs.twimg.com/profile_images/1039452599488053250/SanOfe84.jpg","View")</f>
        <v>View</v>
      </c>
    </row>
    <row r="334" spans="1:21" ht="61.2">
      <c r="A334" s="6">
        <v>43441.601666666669</v>
      </c>
      <c r="B334" s="7" t="str">
        <f>HYPERLINK("https://twitter.com/mcj_sfc","@mcj_sfc")</f>
        <v>@mcj_sfc</v>
      </c>
      <c r="C334" s="8" t="s">
        <v>1564</v>
      </c>
      <c r="D334" s="9" t="s">
        <v>1565</v>
      </c>
      <c r="E334" s="10" t="str">
        <f>HYPERLINK("https://twitter.com/mcj_sfc/status/1071033183674732544","1071033183674732544")</f>
        <v>1071033183674732544</v>
      </c>
      <c r="F334" s="13" t="s">
        <v>1566</v>
      </c>
      <c r="G334" s="13" t="s">
        <v>1567</v>
      </c>
      <c r="H334" s="11"/>
      <c r="I334" s="14">
        <v>0</v>
      </c>
      <c r="J334" s="14">
        <v>0</v>
      </c>
      <c r="K334" s="15" t="str">
        <f t="shared" si="57"/>
        <v>Twitter for Android</v>
      </c>
      <c r="L334" s="14">
        <v>328</v>
      </c>
      <c r="M334" s="14">
        <v>311</v>
      </c>
      <c r="N334" s="14">
        <v>13</v>
      </c>
      <c r="O334" s="16"/>
      <c r="P334" s="6">
        <v>40307.910000000003</v>
      </c>
      <c r="Q334" s="12" t="s">
        <v>1568</v>
      </c>
      <c r="R334" s="17" t="s">
        <v>1569</v>
      </c>
      <c r="S334" s="13" t="s">
        <v>1570</v>
      </c>
      <c r="T334" s="11"/>
      <c r="U334" s="10" t="str">
        <f>HYPERLINK("https://pbs.twimg.com/profile_images/851538738220077057/X71yAHhM.jpg","View")</f>
        <v>View</v>
      </c>
    </row>
    <row r="335" spans="1:21" ht="40.799999999999997">
      <c r="A335" s="6">
        <v>43441.598900462966</v>
      </c>
      <c r="B335" s="7" t="str">
        <f>HYPERLINK("https://twitter.com/FcoJavierGF","@FcoJavierGF")</f>
        <v>@FcoJavierGF</v>
      </c>
      <c r="C335" s="8" t="s">
        <v>1202</v>
      </c>
      <c r="D335" s="9" t="s">
        <v>1203</v>
      </c>
      <c r="E335" s="10" t="str">
        <f>HYPERLINK("https://twitter.com/FcoJavierGF/status/1071032180342734848","1071032180342734848")</f>
        <v>1071032180342734848</v>
      </c>
      <c r="F335" s="11"/>
      <c r="G335" s="11"/>
      <c r="H335" s="11"/>
      <c r="I335" s="14">
        <v>0</v>
      </c>
      <c r="J335" s="14">
        <v>0</v>
      </c>
      <c r="K335" s="15" t="str">
        <f>HYPERLINK("http://twitter.com","Twitter Web Client")</f>
        <v>Twitter Web Client</v>
      </c>
      <c r="L335" s="14">
        <v>20</v>
      </c>
      <c r="M335" s="14">
        <v>53</v>
      </c>
      <c r="N335" s="14">
        <v>2</v>
      </c>
      <c r="O335" s="16"/>
      <c r="P335" s="6">
        <v>41008.555775462963</v>
      </c>
      <c r="Q335" s="11"/>
      <c r="R335" s="17" t="s">
        <v>1205</v>
      </c>
      <c r="S335" s="11"/>
      <c r="T335" s="11"/>
      <c r="U335" s="10" t="str">
        <f>HYPERLINK("https://pbs.twimg.com/profile_images/438935371028520961/9Ol4CKir.png","View")</f>
        <v>View</v>
      </c>
    </row>
    <row r="336" spans="1:21" ht="61.2">
      <c r="A336" s="6">
        <v>43441.59847222222</v>
      </c>
      <c r="B336" s="7" t="str">
        <f>HYPERLINK("https://twitter.com/J_Alcolea","@J_Alcolea")</f>
        <v>@J_Alcolea</v>
      </c>
      <c r="C336" s="8" t="s">
        <v>1575</v>
      </c>
      <c r="D336" s="9" t="s">
        <v>1576</v>
      </c>
      <c r="E336" s="10" t="str">
        <f>HYPERLINK("https://twitter.com/J_Alcolea/status/1071032028001255424","1071032028001255424")</f>
        <v>1071032028001255424</v>
      </c>
      <c r="F336" s="12" t="s">
        <v>1578</v>
      </c>
      <c r="G336" s="11"/>
      <c r="H336" s="11"/>
      <c r="I336" s="14">
        <v>3</v>
      </c>
      <c r="J336" s="14">
        <v>3</v>
      </c>
      <c r="K336" s="15" t="str">
        <f t="shared" ref="K336:K337" si="58">HYPERLINK("http://twitter.com/download/android","Twitter for Android")</f>
        <v>Twitter for Android</v>
      </c>
      <c r="L336" s="14">
        <v>427</v>
      </c>
      <c r="M336" s="14">
        <v>343</v>
      </c>
      <c r="N336" s="14">
        <v>8</v>
      </c>
      <c r="O336" s="16"/>
      <c r="P336" s="6">
        <v>40979.429560185185</v>
      </c>
      <c r="Q336" s="11"/>
      <c r="R336" s="17" t="s">
        <v>1579</v>
      </c>
      <c r="S336" s="11"/>
      <c r="T336" s="11"/>
      <c r="U336" s="10" t="str">
        <f>HYPERLINK("https://pbs.twimg.com/profile_images/840326287210270720/QVvwv857.jpg","View")</f>
        <v>View</v>
      </c>
    </row>
    <row r="337" spans="1:21" ht="30.6">
      <c r="A337" s="6">
        <v>43441.59820601852</v>
      </c>
      <c r="B337" s="7" t="str">
        <f>HYPERLINK("https://twitter.com/pp_latina","@pp_latina")</f>
        <v>@pp_latina</v>
      </c>
      <c r="C337" s="8" t="s">
        <v>1211</v>
      </c>
      <c r="D337" s="9" t="s">
        <v>1212</v>
      </c>
      <c r="E337" s="10" t="str">
        <f>HYPERLINK("https://twitter.com/pp_latina/status/1071031930118959104","1071031930118959104")</f>
        <v>1071031930118959104</v>
      </c>
      <c r="F337" s="13" t="s">
        <v>1214</v>
      </c>
      <c r="G337" s="11"/>
      <c r="H337" s="11"/>
      <c r="I337" s="14">
        <v>1</v>
      </c>
      <c r="J337" s="14">
        <v>0</v>
      </c>
      <c r="K337" s="15" t="str">
        <f t="shared" si="58"/>
        <v>Twitter for Android</v>
      </c>
      <c r="L337" s="14">
        <v>3307</v>
      </c>
      <c r="M337" s="14">
        <v>3550</v>
      </c>
      <c r="N337" s="14">
        <v>9</v>
      </c>
      <c r="O337" s="16"/>
      <c r="P337" s="6">
        <v>42285.742361111115</v>
      </c>
      <c r="Q337" s="12" t="s">
        <v>60</v>
      </c>
      <c r="R337" s="17" t="s">
        <v>1216</v>
      </c>
      <c r="S337" s="13" t="s">
        <v>1217</v>
      </c>
      <c r="T337" s="11"/>
      <c r="U337" s="10" t="str">
        <f>HYPERLINK("https://pbs.twimg.com/profile_images/907195794788417537/h0U6ERer.jpg","View")</f>
        <v>View</v>
      </c>
    </row>
    <row r="338" spans="1:21" ht="51">
      <c r="A338" s="6">
        <v>43441.597650462965</v>
      </c>
      <c r="B338" s="7" t="str">
        <f>HYPERLINK("https://twitter.com/CsRegionMurcia","@CsRegionMurcia")</f>
        <v>@CsRegionMurcia</v>
      </c>
      <c r="C338" s="8" t="s">
        <v>817</v>
      </c>
      <c r="D338" s="9" t="s">
        <v>1219</v>
      </c>
      <c r="E338" s="10" t="str">
        <f>HYPERLINK("https://twitter.com/CsRegionMurcia/status/1071031728821673985","1071031728821673985")</f>
        <v>1071031728821673985</v>
      </c>
      <c r="F338" s="13" t="s">
        <v>1220</v>
      </c>
      <c r="G338" s="11"/>
      <c r="H338" s="11"/>
      <c r="I338" s="14">
        <v>6</v>
      </c>
      <c r="J338" s="14">
        <v>4</v>
      </c>
      <c r="K338" s="15" t="str">
        <f>HYPERLINK("http://twitter.com","Twitter Web Client")</f>
        <v>Twitter Web Client</v>
      </c>
      <c r="L338" s="14">
        <v>6245</v>
      </c>
      <c r="M338" s="14">
        <v>1107</v>
      </c>
      <c r="N338" s="14">
        <v>96</v>
      </c>
      <c r="O338" s="19" t="s">
        <v>42</v>
      </c>
      <c r="P338" s="6">
        <v>40745.431666666671</v>
      </c>
      <c r="Q338" s="12" t="s">
        <v>820</v>
      </c>
      <c r="R338" s="17" t="s">
        <v>821</v>
      </c>
      <c r="S338" s="13" t="s">
        <v>822</v>
      </c>
      <c r="T338" s="11"/>
      <c r="U338" s="10" t="str">
        <f>HYPERLINK("https://pbs.twimg.com/profile_images/1053559144299614208/SFwaZPxU.jpg","View")</f>
        <v>View</v>
      </c>
    </row>
    <row r="339" spans="1:21" ht="20.399999999999999">
      <c r="A339" s="6">
        <v>43441.594722222224</v>
      </c>
      <c r="B339" s="7" t="str">
        <f>HYPERLINK("https://twitter.com/seoane_pedro","@seoane_pedro")</f>
        <v>@seoane_pedro</v>
      </c>
      <c r="C339" s="8" t="s">
        <v>1221</v>
      </c>
      <c r="D339" s="9" t="s">
        <v>1222</v>
      </c>
      <c r="E339" s="10" t="str">
        <f>HYPERLINK("https://twitter.com/seoane_pedro/status/1071030668619120640","1071030668619120640")</f>
        <v>1071030668619120640</v>
      </c>
      <c r="F339" s="11"/>
      <c r="G339" s="13" t="s">
        <v>1223</v>
      </c>
      <c r="H339" s="11"/>
      <c r="I339" s="14">
        <v>1</v>
      </c>
      <c r="J339" s="14">
        <v>1</v>
      </c>
      <c r="K339" s="15" t="str">
        <f t="shared" ref="K339:K340" si="59">HYPERLINK("http://twitter.com/download/android","Twitter for Android")</f>
        <v>Twitter for Android</v>
      </c>
      <c r="L339" s="14">
        <v>1657</v>
      </c>
      <c r="M339" s="14">
        <v>2150</v>
      </c>
      <c r="N339" s="14">
        <v>8</v>
      </c>
      <c r="O339" s="16"/>
      <c r="P339" s="6">
        <v>42858.659652777773</v>
      </c>
      <c r="Q339" s="12" t="s">
        <v>1224</v>
      </c>
      <c r="R339" s="17" t="s">
        <v>1225</v>
      </c>
      <c r="S339" s="11"/>
      <c r="T339" s="11"/>
      <c r="U339" s="10" t="str">
        <f>HYPERLINK("https://pbs.twimg.com/profile_images/1057668767877074945/vhouCDon.jpg","View")</f>
        <v>View</v>
      </c>
    </row>
    <row r="340" spans="1:21" ht="51">
      <c r="A340" s="6">
        <v>43441.592777777776</v>
      </c>
      <c r="B340" s="7" t="str">
        <f>HYPERLINK("https://twitter.com/Kantmg","@Kantmg")</f>
        <v>@Kantmg</v>
      </c>
      <c r="C340" s="8" t="s">
        <v>1226</v>
      </c>
      <c r="D340" s="9" t="s">
        <v>1227</v>
      </c>
      <c r="E340" s="10" t="str">
        <f>HYPERLINK("https://twitter.com/Kantmg/status/1071029961455255552","1071029961455255552")</f>
        <v>1071029961455255552</v>
      </c>
      <c r="F340" s="12" t="s">
        <v>1228</v>
      </c>
      <c r="G340" s="11"/>
      <c r="H340" s="11"/>
      <c r="I340" s="14">
        <v>0</v>
      </c>
      <c r="J340" s="14">
        <v>0</v>
      </c>
      <c r="K340" s="15" t="str">
        <f t="shared" si="59"/>
        <v>Twitter for Android</v>
      </c>
      <c r="L340" s="14">
        <v>86</v>
      </c>
      <c r="M340" s="14">
        <v>136</v>
      </c>
      <c r="N340" s="14">
        <v>0</v>
      </c>
      <c r="O340" s="16"/>
      <c r="P340" s="6">
        <v>41065.533912037034</v>
      </c>
      <c r="Q340" s="12" t="s">
        <v>137</v>
      </c>
      <c r="R340" s="18"/>
      <c r="S340" s="11"/>
      <c r="T340" s="11"/>
      <c r="U340" s="10" t="str">
        <f>HYPERLINK("https://pbs.twimg.com/profile_images/998297915897528320/sERGQw76.jpg","View")</f>
        <v>View</v>
      </c>
    </row>
    <row r="341" spans="1:21" ht="51">
      <c r="A341" s="6">
        <v>43441.59165509259</v>
      </c>
      <c r="B341" s="7" t="str">
        <f>HYPERLINK("https://twitter.com/FG72373327","@FG72373327")</f>
        <v>@FG72373327</v>
      </c>
      <c r="C341" s="8" t="s">
        <v>1229</v>
      </c>
      <c r="D341" s="9" t="s">
        <v>1230</v>
      </c>
      <c r="E341" s="10" t="str">
        <f>HYPERLINK("https://twitter.com/FG72373327/status/1071029557493358597","1071029557493358597")</f>
        <v>1071029557493358597</v>
      </c>
      <c r="F341" s="11"/>
      <c r="G341" s="13" t="s">
        <v>1231</v>
      </c>
      <c r="H341" s="11"/>
      <c r="I341" s="14">
        <v>0</v>
      </c>
      <c r="J341" s="14">
        <v>1</v>
      </c>
      <c r="K341" s="15" t="str">
        <f>HYPERLINK("http://twitter.com/download/iphone","Twitter for iPhone")</f>
        <v>Twitter for iPhone</v>
      </c>
      <c r="L341" s="14">
        <v>888</v>
      </c>
      <c r="M341" s="14">
        <v>926</v>
      </c>
      <c r="N341" s="14">
        <v>6</v>
      </c>
      <c r="O341" s="16"/>
      <c r="P341" s="6">
        <v>42977.396006944444</v>
      </c>
      <c r="Q341" s="12" t="s">
        <v>60</v>
      </c>
      <c r="R341" s="18"/>
      <c r="S341" s="11"/>
      <c r="T341" s="11"/>
      <c r="U341" s="10" t="str">
        <f>HYPERLINK("https://pbs.twimg.com/profile_images/902802729009111040/RUuGyEn7.jpg","View")</f>
        <v>View</v>
      </c>
    </row>
    <row r="342" spans="1:21" ht="30.6">
      <c r="A342" s="6">
        <v>43441.590092592596</v>
      </c>
      <c r="B342" s="7" t="str">
        <f>HYPERLINK("https://twitter.com/cristianbonsoms","@cristianbonsoms")</f>
        <v>@cristianbonsoms</v>
      </c>
      <c r="C342" s="8" t="s">
        <v>1594</v>
      </c>
      <c r="D342" s="9" t="s">
        <v>1595</v>
      </c>
      <c r="E342" s="10" t="str">
        <f>HYPERLINK("https://twitter.com/cristianbonsoms/status/1071028990654275584","1071028990654275584")</f>
        <v>1071028990654275584</v>
      </c>
      <c r="F342" s="13" t="s">
        <v>228</v>
      </c>
      <c r="G342" s="11"/>
      <c r="H342" s="11"/>
      <c r="I342" s="14">
        <v>0</v>
      </c>
      <c r="J342" s="14">
        <v>1</v>
      </c>
      <c r="K342" s="15" t="str">
        <f>HYPERLINK("http://twitter.com/download/android","Twitter for Android")</f>
        <v>Twitter for Android</v>
      </c>
      <c r="L342" s="14">
        <v>100</v>
      </c>
      <c r="M342" s="14">
        <v>198</v>
      </c>
      <c r="N342" s="14">
        <v>0</v>
      </c>
      <c r="O342" s="16"/>
      <c r="P342" s="6">
        <v>41958.607835648145</v>
      </c>
      <c r="Q342" s="11"/>
      <c r="R342" s="17" t="s">
        <v>1596</v>
      </c>
      <c r="S342" s="11"/>
      <c r="T342" s="11"/>
      <c r="U342" s="10" t="str">
        <f>HYPERLINK("https://pbs.twimg.com/profile_images/924734188011606016/-774RREL.jpg","View")</f>
        <v>View</v>
      </c>
    </row>
    <row r="343" spans="1:21" ht="51">
      <c r="A343" s="6">
        <v>43441.588020833333</v>
      </c>
      <c r="B343" s="7" t="str">
        <f>HYPERLINK("https://twitter.com/Ana_AnteLaNoche","@Ana_AnteLaNoche")</f>
        <v>@Ana_AnteLaNoche</v>
      </c>
      <c r="C343" s="8" t="s">
        <v>1232</v>
      </c>
      <c r="D343" s="9" t="s">
        <v>1233</v>
      </c>
      <c r="E343" s="10" t="str">
        <f>HYPERLINK("https://twitter.com/Ana_AnteLaNoche/status/1071028240603602944","1071028240603602944")</f>
        <v>1071028240603602944</v>
      </c>
      <c r="F343" s="11"/>
      <c r="G343" s="13" t="s">
        <v>1236</v>
      </c>
      <c r="H343" s="11"/>
      <c r="I343" s="14">
        <v>1</v>
      </c>
      <c r="J343" s="14">
        <v>0</v>
      </c>
      <c r="K343" s="15" t="str">
        <f t="shared" ref="K343:K344" si="60">HYPERLINK("http://twitter.com","Twitter Web Client")</f>
        <v>Twitter Web Client</v>
      </c>
      <c r="L343" s="14">
        <v>226</v>
      </c>
      <c r="M343" s="14">
        <v>532</v>
      </c>
      <c r="N343" s="14">
        <v>4</v>
      </c>
      <c r="O343" s="16"/>
      <c r="P343" s="6">
        <v>40685.043773148151</v>
      </c>
      <c r="Q343" s="12" t="s">
        <v>1238</v>
      </c>
      <c r="R343" s="17" t="s">
        <v>1239</v>
      </c>
      <c r="S343" s="11"/>
      <c r="T343" s="11"/>
      <c r="U343" s="10" t="str">
        <f>HYPERLINK("https://pbs.twimg.com/profile_images/691505818345283584/Kafz5diB.jpg","View")</f>
        <v>View</v>
      </c>
    </row>
    <row r="344" spans="1:21" ht="51">
      <c r="A344" s="6">
        <v>43441.58525462963</v>
      </c>
      <c r="B344" s="7" t="str">
        <f>HYPERLINK("https://twitter.com/luposinister666","@luposinister666")</f>
        <v>@luposinister666</v>
      </c>
      <c r="C344" s="8" t="s">
        <v>1485</v>
      </c>
      <c r="D344" s="9" t="s">
        <v>1600</v>
      </c>
      <c r="E344" s="10" t="str">
        <f>HYPERLINK("https://twitter.com/luposinister666/status/1071027238261481472","1071027238261481472")</f>
        <v>1071027238261481472</v>
      </c>
      <c r="F344" s="11"/>
      <c r="G344" s="11"/>
      <c r="H344" s="11"/>
      <c r="I344" s="14">
        <v>7</v>
      </c>
      <c r="J344" s="14">
        <v>6</v>
      </c>
      <c r="K344" s="15" t="str">
        <f t="shared" si="60"/>
        <v>Twitter Web Client</v>
      </c>
      <c r="L344" s="14">
        <v>1943</v>
      </c>
      <c r="M344" s="14">
        <v>3020</v>
      </c>
      <c r="N344" s="14">
        <v>6</v>
      </c>
      <c r="O344" s="16"/>
      <c r="P344" s="6">
        <v>42128.537129629629</v>
      </c>
      <c r="Q344" s="11"/>
      <c r="R344" s="17" t="s">
        <v>1490</v>
      </c>
      <c r="S344" s="11"/>
      <c r="T344" s="11"/>
      <c r="U344" s="10" t="str">
        <f>HYPERLINK("https://pbs.twimg.com/profile_images/1015189268636061696/W89CSRIW.jpg","View")</f>
        <v>View</v>
      </c>
    </row>
    <row r="345" spans="1:21" ht="30.6">
      <c r="A345" s="6">
        <v>43441.584687499999</v>
      </c>
      <c r="B345" s="7" t="str">
        <f>HYPERLINK("https://twitter.com/Oracio_Bernal","@Oracio_Bernal")</f>
        <v>@Oracio_Bernal</v>
      </c>
      <c r="C345" s="8" t="s">
        <v>1603</v>
      </c>
      <c r="D345" s="9" t="s">
        <v>1604</v>
      </c>
      <c r="E345" s="10" t="str">
        <f>HYPERLINK("https://twitter.com/Oracio_Bernal/status/1071027032711139328","1071027032711139328")</f>
        <v>1071027032711139328</v>
      </c>
      <c r="F345" s="11"/>
      <c r="G345" s="13" t="s">
        <v>1605</v>
      </c>
      <c r="H345" s="11"/>
      <c r="I345" s="14">
        <v>4</v>
      </c>
      <c r="J345" s="14">
        <v>4</v>
      </c>
      <c r="K345" s="15" t="str">
        <f>HYPERLINK("http://twitter.com/download/android","Twitter for Android")</f>
        <v>Twitter for Android</v>
      </c>
      <c r="L345" s="14">
        <v>597</v>
      </c>
      <c r="M345" s="14">
        <v>23</v>
      </c>
      <c r="N345" s="14">
        <v>12</v>
      </c>
      <c r="O345" s="16"/>
      <c r="P345" s="6">
        <v>42743.522395833337</v>
      </c>
      <c r="Q345" s="12" t="s">
        <v>1608</v>
      </c>
      <c r="R345" s="17" t="s">
        <v>1609</v>
      </c>
      <c r="S345" s="11"/>
      <c r="T345" s="11"/>
      <c r="U345" s="10" t="str">
        <f>HYPERLINK("https://pbs.twimg.com/profile_images/949004163920416768/CfUZISE3.jpg","View")</f>
        <v>View</v>
      </c>
    </row>
    <row r="346" spans="1:21" ht="40.799999999999997">
      <c r="A346" s="6">
        <v>43441.580995370372</v>
      </c>
      <c r="B346" s="7" t="str">
        <f>HYPERLINK("https://twitter.com/eclementen","@eclementen")</f>
        <v>@eclementen</v>
      </c>
      <c r="C346" s="8" t="s">
        <v>267</v>
      </c>
      <c r="D346" s="9" t="s">
        <v>1242</v>
      </c>
      <c r="E346" s="10" t="str">
        <f>HYPERLINK("https://twitter.com/eclementen/status/1071025693490847744","1071025693490847744")</f>
        <v>1071025693490847744</v>
      </c>
      <c r="F346" s="11"/>
      <c r="G346" s="11"/>
      <c r="H346" s="11"/>
      <c r="I346" s="14">
        <v>5</v>
      </c>
      <c r="J346" s="14">
        <v>5</v>
      </c>
      <c r="K346" s="15" t="str">
        <f t="shared" ref="K346:K349" si="61">HYPERLINK("http://twitter.com/download/iphone","Twitter for iPhone")</f>
        <v>Twitter for iPhone</v>
      </c>
      <c r="L346" s="14">
        <v>2211</v>
      </c>
      <c r="M346" s="14">
        <v>849</v>
      </c>
      <c r="N346" s="14">
        <v>67</v>
      </c>
      <c r="O346" s="16"/>
      <c r="P346" s="6">
        <v>40833.776261574072</v>
      </c>
      <c r="Q346" s="11"/>
      <c r="R346" s="17" t="s">
        <v>272</v>
      </c>
      <c r="S346" s="11"/>
      <c r="T346" s="11"/>
      <c r="U346" s="10" t="str">
        <f>HYPERLINK("https://pbs.twimg.com/profile_images/1026496915016507394/PchQaO9K.jpg","View")</f>
        <v>View</v>
      </c>
    </row>
    <row r="347" spans="1:21" ht="61.2">
      <c r="A347" s="6">
        <v>43441.577314814815</v>
      </c>
      <c r="B347" s="7" t="str">
        <f>HYPERLINK("https://twitter.com/FG72373327","@FG72373327")</f>
        <v>@FG72373327</v>
      </c>
      <c r="C347" s="8" t="s">
        <v>1229</v>
      </c>
      <c r="D347" s="9" t="s">
        <v>1243</v>
      </c>
      <c r="E347" s="10" t="str">
        <f>HYPERLINK("https://twitter.com/FG72373327/status/1071024358267617281","1071024358267617281")</f>
        <v>1071024358267617281</v>
      </c>
      <c r="F347" s="12" t="s">
        <v>1244</v>
      </c>
      <c r="G347" s="11"/>
      <c r="H347" s="11"/>
      <c r="I347" s="14">
        <v>0</v>
      </c>
      <c r="J347" s="14">
        <v>0</v>
      </c>
      <c r="K347" s="15" t="str">
        <f t="shared" si="61"/>
        <v>Twitter for iPhone</v>
      </c>
      <c r="L347" s="14">
        <v>888</v>
      </c>
      <c r="M347" s="14">
        <v>926</v>
      </c>
      <c r="N347" s="14">
        <v>6</v>
      </c>
      <c r="O347" s="16"/>
      <c r="P347" s="6">
        <v>42977.396006944444</v>
      </c>
      <c r="Q347" s="12" t="s">
        <v>60</v>
      </c>
      <c r="R347" s="18"/>
      <c r="S347" s="11"/>
      <c r="T347" s="11"/>
      <c r="U347" s="10" t="str">
        <f>HYPERLINK("https://pbs.twimg.com/profile_images/902802729009111040/RUuGyEn7.jpg","View")</f>
        <v>View</v>
      </c>
    </row>
    <row r="348" spans="1:21" ht="51">
      <c r="A348" s="6">
        <v>43441.576527777783</v>
      </c>
      <c r="B348" s="7" t="str">
        <f>HYPERLINK("https://twitter.com/gonzalezpej","@gonzalezpej")</f>
        <v>@gonzalezpej</v>
      </c>
      <c r="C348" s="8" t="s">
        <v>1250</v>
      </c>
      <c r="D348" s="9" t="s">
        <v>1251</v>
      </c>
      <c r="E348" s="10" t="str">
        <f>HYPERLINK("https://twitter.com/gonzalezpej/status/1071024075114536965","1071024075114536965")</f>
        <v>1071024075114536965</v>
      </c>
      <c r="F348" s="11"/>
      <c r="G348" s="13" t="s">
        <v>1252</v>
      </c>
      <c r="H348" s="11"/>
      <c r="I348" s="14">
        <v>0</v>
      </c>
      <c r="J348" s="14">
        <v>0</v>
      </c>
      <c r="K348" s="15" t="str">
        <f t="shared" si="61"/>
        <v>Twitter for iPhone</v>
      </c>
      <c r="L348" s="14">
        <v>58</v>
      </c>
      <c r="M348" s="14">
        <v>176</v>
      </c>
      <c r="N348" s="14">
        <v>0</v>
      </c>
      <c r="O348" s="16"/>
      <c r="P348" s="6">
        <v>43144.507835648154</v>
      </c>
      <c r="Q348" s="12" t="s">
        <v>1255</v>
      </c>
      <c r="R348" s="17" t="s">
        <v>1256</v>
      </c>
      <c r="S348" s="13" t="s">
        <v>1257</v>
      </c>
      <c r="T348" s="11"/>
      <c r="U348" s="10" t="str">
        <f>HYPERLINK("https://pbs.twimg.com/profile_images/1071169477105078272/erBTcG6J.jpg","View")</f>
        <v>View</v>
      </c>
    </row>
    <row r="349" spans="1:21" ht="30.6">
      <c r="A349" s="6">
        <v>43441.575486111113</v>
      </c>
      <c r="B349" s="7" t="str">
        <f>HYPERLINK("https://twitter.com/CowboyNihilist","@CowboyNihilist")</f>
        <v>@CowboyNihilist</v>
      </c>
      <c r="C349" s="8" t="s">
        <v>1617</v>
      </c>
      <c r="D349" s="9" t="s">
        <v>1618</v>
      </c>
      <c r="E349" s="10" t="str">
        <f>HYPERLINK("https://twitter.com/CowboyNihilist/status/1071023694825308163","1071023694825308163")</f>
        <v>1071023694825308163</v>
      </c>
      <c r="F349" s="13" t="s">
        <v>1622</v>
      </c>
      <c r="G349" s="13" t="s">
        <v>1623</v>
      </c>
      <c r="H349" s="11"/>
      <c r="I349" s="14">
        <v>0</v>
      </c>
      <c r="J349" s="14">
        <v>1</v>
      </c>
      <c r="K349" s="15" t="str">
        <f t="shared" si="61"/>
        <v>Twitter for iPhone</v>
      </c>
      <c r="L349" s="14">
        <v>410</v>
      </c>
      <c r="M349" s="14">
        <v>384</v>
      </c>
      <c r="N349" s="14">
        <v>1</v>
      </c>
      <c r="O349" s="16"/>
      <c r="P349" s="6">
        <v>43346.788807870369</v>
      </c>
      <c r="Q349" s="12" t="s">
        <v>1624</v>
      </c>
      <c r="R349" s="17" t="s">
        <v>1625</v>
      </c>
      <c r="S349" s="11"/>
      <c r="T349" s="11"/>
      <c r="U349" s="10" t="str">
        <f>HYPERLINK("https://pbs.twimg.com/profile_images/1037295063645253633/--pdA-99.jpg","View")</f>
        <v>View</v>
      </c>
    </row>
    <row r="350" spans="1:21" ht="40.799999999999997">
      <c r="A350" s="6">
        <v>43441.564525462964</v>
      </c>
      <c r="B350" s="7" t="str">
        <f>HYPERLINK("https://twitter.com/PartidoRepEs","@PartidoRepEs")</f>
        <v>@PartidoRepEs</v>
      </c>
      <c r="C350" s="8" t="s">
        <v>519</v>
      </c>
      <c r="D350" s="9" t="s">
        <v>1627</v>
      </c>
      <c r="E350" s="10" t="str">
        <f>HYPERLINK("https://twitter.com/PartidoRepEs/status/1071019725818347520","1071019725818347520")</f>
        <v>1071019725818347520</v>
      </c>
      <c r="F350" s="11"/>
      <c r="G350" s="13" t="s">
        <v>1628</v>
      </c>
      <c r="H350" s="11"/>
      <c r="I350" s="14">
        <v>0</v>
      </c>
      <c r="J350" s="14">
        <v>1</v>
      </c>
      <c r="K350" s="15" t="str">
        <f>HYPERLINK("http://twitter.com/download/android","Twitter for Android")</f>
        <v>Twitter for Android</v>
      </c>
      <c r="L350" s="14">
        <v>4366</v>
      </c>
      <c r="M350" s="14">
        <v>4993</v>
      </c>
      <c r="N350" s="14">
        <v>25</v>
      </c>
      <c r="O350" s="16"/>
      <c r="P350" s="6">
        <v>42183.720682870371</v>
      </c>
      <c r="Q350" s="11"/>
      <c r="R350" s="17" t="s">
        <v>523</v>
      </c>
      <c r="S350" s="13" t="s">
        <v>524</v>
      </c>
      <c r="T350" s="11"/>
      <c r="U350" s="10" t="str">
        <f>HYPERLINK("https://pbs.twimg.com/profile_images/615180335417040901/p8IX-96B.jpg","View")</f>
        <v>View</v>
      </c>
    </row>
    <row r="351" spans="1:21" ht="20.399999999999999">
      <c r="A351" s="6">
        <v>43441.563703703709</v>
      </c>
      <c r="B351" s="7" t="str">
        <f>HYPERLINK("https://twitter.com/DeMarichalar_","@DeMarichalar_")</f>
        <v>@DeMarichalar_</v>
      </c>
      <c r="C351" s="8" t="s">
        <v>1264</v>
      </c>
      <c r="D351" s="9" t="s">
        <v>1265</v>
      </c>
      <c r="E351" s="10" t="str">
        <f>HYPERLINK("https://twitter.com/DeMarichalar_/status/1071019426345086976","1071019426345086976")</f>
        <v>1071019426345086976</v>
      </c>
      <c r="F351" s="11"/>
      <c r="G351" s="11"/>
      <c r="H351" s="11"/>
      <c r="I351" s="14">
        <v>1</v>
      </c>
      <c r="J351" s="14">
        <v>6</v>
      </c>
      <c r="K351" s="15" t="str">
        <f>HYPERLINK("http://twitter.com","Twitter Web Client")</f>
        <v>Twitter Web Client</v>
      </c>
      <c r="L351" s="14">
        <v>38</v>
      </c>
      <c r="M351" s="14">
        <v>17</v>
      </c>
      <c r="N351" s="14">
        <v>0</v>
      </c>
      <c r="O351" s="16"/>
      <c r="P351" s="6">
        <v>42846.928032407406</v>
      </c>
      <c r="Q351" s="12" t="s">
        <v>1271</v>
      </c>
      <c r="R351" s="17" t="s">
        <v>1272</v>
      </c>
      <c r="S351" s="13" t="s">
        <v>1273</v>
      </c>
      <c r="T351" s="11"/>
      <c r="U351" s="10" t="str">
        <f>HYPERLINK("https://pbs.twimg.com/profile_images/991725197429534720/1RRud5e3.jpg","View")</f>
        <v>View</v>
      </c>
    </row>
    <row r="352" spans="1:21" ht="51">
      <c r="A352" s="6">
        <v>43441.563344907408</v>
      </c>
      <c r="B352" s="7" t="str">
        <f>HYPERLINK("https://twitter.com/JuanluRodrigue","@JuanluRodrigue")</f>
        <v>@JuanluRodrigue</v>
      </c>
      <c r="C352" s="8" t="s">
        <v>1275</v>
      </c>
      <c r="D352" s="9" t="s">
        <v>1276</v>
      </c>
      <c r="E352" s="10" t="str">
        <f>HYPERLINK("https://twitter.com/JuanluRodrigue/status/1071019295289868290","1071019295289868290")</f>
        <v>1071019295289868290</v>
      </c>
      <c r="F352" s="11"/>
      <c r="G352" s="13" t="s">
        <v>1277</v>
      </c>
      <c r="H352" s="11"/>
      <c r="I352" s="14">
        <v>0</v>
      </c>
      <c r="J352" s="14">
        <v>0</v>
      </c>
      <c r="K352" s="15" t="str">
        <f>HYPERLINK("http://twitter.com/download/iphone","Twitter for iPhone")</f>
        <v>Twitter for iPhone</v>
      </c>
      <c r="L352" s="14">
        <v>57</v>
      </c>
      <c r="M352" s="14">
        <v>23</v>
      </c>
      <c r="N352" s="14">
        <v>0</v>
      </c>
      <c r="O352" s="16"/>
      <c r="P352" s="6">
        <v>42337.99319444444</v>
      </c>
      <c r="Q352" s="11"/>
      <c r="R352" s="17" t="s">
        <v>1281</v>
      </c>
      <c r="S352" s="11"/>
      <c r="T352" s="11"/>
      <c r="U352" s="10" t="str">
        <f>HYPERLINK("https://pbs.twimg.com/profile_images/955174483215769600/_Tn8wso4.jpg","View")</f>
        <v>View</v>
      </c>
    </row>
    <row r="353" spans="1:21" ht="40.799999999999997">
      <c r="A353" s="6">
        <v>43441.563287037032</v>
      </c>
      <c r="B353" s="7" t="str">
        <f>HYPERLINK("https://twitter.com/ismael_fol","@ismael_fol")</f>
        <v>@ismael_fol</v>
      </c>
      <c r="C353" s="8" t="s">
        <v>1282</v>
      </c>
      <c r="D353" s="9" t="s">
        <v>1283</v>
      </c>
      <c r="E353" s="10" t="str">
        <f>HYPERLINK("https://twitter.com/ismael_fol/status/1071019276163780615","1071019276163780615")</f>
        <v>1071019276163780615</v>
      </c>
      <c r="F353" s="11"/>
      <c r="G353" s="11"/>
      <c r="H353" s="11"/>
      <c r="I353" s="14">
        <v>0</v>
      </c>
      <c r="J353" s="14">
        <v>0</v>
      </c>
      <c r="K353" s="15" t="str">
        <f>HYPERLINK("http://twitter.com/download/android","Twitter for Android")</f>
        <v>Twitter for Android</v>
      </c>
      <c r="L353" s="14">
        <v>333</v>
      </c>
      <c r="M353" s="14">
        <v>913</v>
      </c>
      <c r="N353" s="14">
        <v>5</v>
      </c>
      <c r="O353" s="16"/>
      <c r="P353" s="6">
        <v>42744.954675925925</v>
      </c>
      <c r="Q353" s="12" t="s">
        <v>1285</v>
      </c>
      <c r="R353" s="17" t="s">
        <v>1286</v>
      </c>
      <c r="S353" s="11"/>
      <c r="T353" s="11"/>
      <c r="U353" s="10" t="str">
        <f>HYPERLINK("https://pbs.twimg.com/profile_images/1024329633309843457/Be9iqwvn.jpg","View")</f>
        <v>View</v>
      </c>
    </row>
    <row r="354" spans="1:21" ht="51">
      <c r="A354" s="6">
        <v>43441.561365740738</v>
      </c>
      <c r="B354" s="7" t="str">
        <f>HYPERLINK("https://twitter.com/Thorranski","@Thorranski")</f>
        <v>@Thorranski</v>
      </c>
      <c r="C354" s="8" t="s">
        <v>1637</v>
      </c>
      <c r="D354" s="9" t="s">
        <v>1638</v>
      </c>
      <c r="E354" s="10" t="str">
        <f>HYPERLINK("https://twitter.com/Thorranski/status/1071018579162742784","1071018579162742784")</f>
        <v>1071018579162742784</v>
      </c>
      <c r="F354" s="11"/>
      <c r="G354" s="11"/>
      <c r="H354" s="11"/>
      <c r="I354" s="14">
        <v>0</v>
      </c>
      <c r="J354" s="14">
        <v>0</v>
      </c>
      <c r="K354" s="15" t="str">
        <f>HYPERLINK("http://twitter.com/download/iphone","Twitter for iPhone")</f>
        <v>Twitter for iPhone</v>
      </c>
      <c r="L354" s="14">
        <v>28</v>
      </c>
      <c r="M354" s="14">
        <v>258</v>
      </c>
      <c r="N354" s="14">
        <v>0</v>
      </c>
      <c r="O354" s="16"/>
      <c r="P354" s="6">
        <v>43358.490787037037</v>
      </c>
      <c r="Q354" s="12" t="s">
        <v>1640</v>
      </c>
      <c r="R354" s="17" t="s">
        <v>1641</v>
      </c>
      <c r="S354" s="11"/>
      <c r="T354" s="11"/>
      <c r="U354" s="10" t="str">
        <f>HYPERLINK("https://pbs.twimg.com/profile_images/1046464257427210240/yhQpj9s5.jpg","View")</f>
        <v>View</v>
      </c>
    </row>
    <row r="355" spans="1:21" ht="51">
      <c r="A355" s="6">
        <v>43441.556342592594</v>
      </c>
      <c r="B355" s="7" t="str">
        <f>HYPERLINK("https://twitter.com/TheJulianRR","@TheJulianRR")</f>
        <v>@TheJulianRR</v>
      </c>
      <c r="C355" s="8" t="s">
        <v>1287</v>
      </c>
      <c r="D355" s="9" t="s">
        <v>39</v>
      </c>
      <c r="E355" s="10" t="str">
        <f>HYPERLINK("https://twitter.com/TheJulianRR/status/1071016758050516992","1071016758050516992")</f>
        <v>1071016758050516992</v>
      </c>
      <c r="F355" s="13" t="s">
        <v>1290</v>
      </c>
      <c r="G355" s="11"/>
      <c r="H355" s="11"/>
      <c r="I355" s="14">
        <v>0</v>
      </c>
      <c r="J355" s="14">
        <v>0</v>
      </c>
      <c r="K355" s="15" t="str">
        <f>HYPERLINK("http://twitter.com","Twitter Web Client")</f>
        <v>Twitter Web Client</v>
      </c>
      <c r="L355" s="14">
        <v>517</v>
      </c>
      <c r="M355" s="14">
        <v>882</v>
      </c>
      <c r="N355" s="14">
        <v>29</v>
      </c>
      <c r="O355" s="16"/>
      <c r="P355" s="6">
        <v>40259.69636574074</v>
      </c>
      <c r="Q355" s="11"/>
      <c r="R355" s="17" t="s">
        <v>1293</v>
      </c>
      <c r="S355" s="11"/>
      <c r="T355" s="11"/>
      <c r="U355" s="10" t="str">
        <f>HYPERLINK("https://pbs.twimg.com/profile_images/1071209375979708416/H2ehyhGF.jpg","View")</f>
        <v>View</v>
      </c>
    </row>
    <row r="356" spans="1:21" ht="51">
      <c r="A356" s="6">
        <v>43441.555810185186</v>
      </c>
      <c r="B356" s="7" t="str">
        <f>HYPERLINK("https://twitter.com/PartidoRepEs","@PartidoRepEs")</f>
        <v>@PartidoRepEs</v>
      </c>
      <c r="C356" s="8" t="s">
        <v>519</v>
      </c>
      <c r="D356" s="9" t="s">
        <v>1647</v>
      </c>
      <c r="E356" s="10" t="str">
        <f>HYPERLINK("https://twitter.com/PartidoRepEs/status/1071016565481582593","1071016565481582593")</f>
        <v>1071016565481582593</v>
      </c>
      <c r="F356" s="11"/>
      <c r="G356" s="11"/>
      <c r="H356" s="11"/>
      <c r="I356" s="14">
        <v>4</v>
      </c>
      <c r="J356" s="14">
        <v>3</v>
      </c>
      <c r="K356" s="15" t="str">
        <f t="shared" ref="K356:K357" si="62">HYPERLINK("http://twitter.com/download/android","Twitter for Android")</f>
        <v>Twitter for Android</v>
      </c>
      <c r="L356" s="14">
        <v>4366</v>
      </c>
      <c r="M356" s="14">
        <v>4993</v>
      </c>
      <c r="N356" s="14">
        <v>25</v>
      </c>
      <c r="O356" s="16"/>
      <c r="P356" s="6">
        <v>42183.720682870371</v>
      </c>
      <c r="Q356" s="11"/>
      <c r="R356" s="17" t="s">
        <v>523</v>
      </c>
      <c r="S356" s="13" t="s">
        <v>524</v>
      </c>
      <c r="T356" s="11"/>
      <c r="U356" s="10" t="str">
        <f>HYPERLINK("https://pbs.twimg.com/profile_images/615180335417040901/p8IX-96B.jpg","View")</f>
        <v>View</v>
      </c>
    </row>
    <row r="357" spans="1:21" ht="40.799999999999997">
      <c r="A357" s="6">
        <v>43441.55569444444</v>
      </c>
      <c r="B357" s="7" t="str">
        <f>HYPERLINK("https://twitter.com/JC_C_A","@JC_C_A")</f>
        <v>@JC_C_A</v>
      </c>
      <c r="C357" s="8" t="s">
        <v>1651</v>
      </c>
      <c r="D357" s="9" t="s">
        <v>1652</v>
      </c>
      <c r="E357" s="10" t="str">
        <f>HYPERLINK("https://twitter.com/JC_C_A/status/1071016525010792448","1071016525010792448")</f>
        <v>1071016525010792448</v>
      </c>
      <c r="F357" s="11"/>
      <c r="G357" s="11"/>
      <c r="H357" s="11"/>
      <c r="I357" s="14">
        <v>1</v>
      </c>
      <c r="J357" s="14">
        <v>1</v>
      </c>
      <c r="K357" s="15" t="str">
        <f t="shared" si="62"/>
        <v>Twitter for Android</v>
      </c>
      <c r="L357" s="14">
        <v>1535</v>
      </c>
      <c r="M357" s="14">
        <v>1285</v>
      </c>
      <c r="N357" s="14">
        <v>4</v>
      </c>
      <c r="O357" s="16"/>
      <c r="P357" s="6">
        <v>43055.93885416667</v>
      </c>
      <c r="Q357" s="12" t="s">
        <v>1655</v>
      </c>
      <c r="R357" s="17" t="s">
        <v>1656</v>
      </c>
      <c r="S357" s="11"/>
      <c r="T357" s="11"/>
      <c r="U357" s="10" t="str">
        <f>HYPERLINK("https://pbs.twimg.com/profile_images/1029775179520647169/gj_YgLkP.jpg","View")</f>
        <v>View</v>
      </c>
    </row>
    <row r="358" spans="1:21" ht="51">
      <c r="A358" s="6">
        <v>43441.554618055554</v>
      </c>
      <c r="B358" s="7" t="str">
        <f>HYPERLINK("https://twitter.com/mi_caye","@mi_caye")</f>
        <v>@mi_caye</v>
      </c>
      <c r="C358" s="8" t="s">
        <v>1294</v>
      </c>
      <c r="D358" s="9" t="s">
        <v>39</v>
      </c>
      <c r="E358" s="10" t="str">
        <f>HYPERLINK("https://twitter.com/mi_caye/status/1071016133325713408","1071016133325713408")</f>
        <v>1071016133325713408</v>
      </c>
      <c r="F358" s="13" t="s">
        <v>1297</v>
      </c>
      <c r="G358" s="11"/>
      <c r="H358" s="11"/>
      <c r="I358" s="14">
        <v>0</v>
      </c>
      <c r="J358" s="14">
        <v>0</v>
      </c>
      <c r="K358" s="15" t="str">
        <f>HYPERLINK("http://twitter.com","Twitter Web Client")</f>
        <v>Twitter Web Client</v>
      </c>
      <c r="L358" s="14">
        <v>2162</v>
      </c>
      <c r="M358" s="14">
        <v>1893</v>
      </c>
      <c r="N358" s="14">
        <v>52</v>
      </c>
      <c r="O358" s="16"/>
      <c r="P358" s="6">
        <v>40812.778854166667</v>
      </c>
      <c r="Q358" s="12" t="s">
        <v>508</v>
      </c>
      <c r="R358" s="17" t="s">
        <v>1301</v>
      </c>
      <c r="S358" s="11"/>
      <c r="T358" s="11"/>
      <c r="U358" s="10" t="str">
        <f>HYPERLINK("https://pbs.twimg.com/profile_images/1050071026556698627/YwhPIt1S.jpg","View")</f>
        <v>View</v>
      </c>
    </row>
    <row r="359" spans="1:21" ht="40.799999999999997">
      <c r="A359" s="6">
        <v>43441.55368055556</v>
      </c>
      <c r="B359" s="7" t="str">
        <f>HYPERLINK("https://twitter.com/NACHOTECNOLOGIA","@NACHOTECNOLOGIA")</f>
        <v>@NACHOTECNOLOGIA</v>
      </c>
      <c r="C359" s="8" t="s">
        <v>1302</v>
      </c>
      <c r="D359" s="9" t="s">
        <v>1303</v>
      </c>
      <c r="E359" s="10" t="str">
        <f>HYPERLINK("https://twitter.com/NACHOTECNOLOGIA/status/1071015794115600390","1071015794115600390")</f>
        <v>1071015794115600390</v>
      </c>
      <c r="F359" s="13" t="s">
        <v>1304</v>
      </c>
      <c r="G359" s="11"/>
      <c r="H359" s="11"/>
      <c r="I359" s="14">
        <v>1</v>
      </c>
      <c r="J359" s="14">
        <v>0</v>
      </c>
      <c r="K359" s="15" t="str">
        <f>HYPERLINK("http://twitter.com/download/android","Twitter for Android")</f>
        <v>Twitter for Android</v>
      </c>
      <c r="L359" s="14">
        <v>404</v>
      </c>
      <c r="M359" s="14">
        <v>507</v>
      </c>
      <c r="N359" s="14">
        <v>23</v>
      </c>
      <c r="O359" s="16"/>
      <c r="P359" s="6">
        <v>40896.908252314817</v>
      </c>
      <c r="Q359" s="11"/>
      <c r="R359" s="17" t="s">
        <v>1310</v>
      </c>
      <c r="S359" s="11"/>
      <c r="T359" s="11"/>
      <c r="U359" s="10" t="str">
        <f>HYPERLINK("https://pbs.twimg.com/profile_images/959424995175948288/MtkGRVgd.jpg","View")</f>
        <v>View</v>
      </c>
    </row>
    <row r="360" spans="1:21" ht="20.399999999999999">
      <c r="A360" s="6">
        <v>43441.549398148149</v>
      </c>
      <c r="B360" s="7" t="str">
        <f>HYPERLINK("https://twitter.com/manufa1955","@manufa1955")</f>
        <v>@manufa1955</v>
      </c>
      <c r="C360" s="8" t="s">
        <v>1664</v>
      </c>
      <c r="D360" s="9" t="s">
        <v>225</v>
      </c>
      <c r="E360" s="10" t="str">
        <f>HYPERLINK("https://twitter.com/manufa1955/status/1071014242168553472","1071014242168553472")</f>
        <v>1071014242168553472</v>
      </c>
      <c r="F360" s="13" t="s">
        <v>228</v>
      </c>
      <c r="G360" s="11"/>
      <c r="H360" s="11"/>
      <c r="I360" s="14">
        <v>0</v>
      </c>
      <c r="J360" s="14">
        <v>0</v>
      </c>
      <c r="K360" s="15" t="str">
        <f>HYPERLINK("http://www.facebook.com/twitter","Facebook")</f>
        <v>Facebook</v>
      </c>
      <c r="L360" s="14">
        <v>176</v>
      </c>
      <c r="M360" s="14">
        <v>48</v>
      </c>
      <c r="N360" s="14">
        <v>6</v>
      </c>
      <c r="O360" s="16"/>
      <c r="P360" s="6">
        <v>40460.974108796298</v>
      </c>
      <c r="Q360" s="12" t="s">
        <v>1665</v>
      </c>
      <c r="R360" s="18"/>
      <c r="S360" s="13" t="s">
        <v>1666</v>
      </c>
      <c r="T360" s="11"/>
      <c r="U360" s="10" t="str">
        <f>HYPERLINK("https://pbs.twimg.com/profile_images/3556471273/b12f18f17841bf308162a9bc287448d3.jpeg","View")</f>
        <v>View</v>
      </c>
    </row>
    <row r="361" spans="1:21" ht="51">
      <c r="A361" s="6">
        <v>43441.548807870371</v>
      </c>
      <c r="B361" s="7" t="str">
        <f>HYPERLINK("https://twitter.com/Emonru","@Emonru")</f>
        <v>@Emonru</v>
      </c>
      <c r="C361" s="8" t="s">
        <v>1311</v>
      </c>
      <c r="D361" s="9" t="s">
        <v>1312</v>
      </c>
      <c r="E361" s="10" t="str">
        <f>HYPERLINK("https://twitter.com/Emonru/status/1071014027898306561","1071014027898306561")</f>
        <v>1071014027898306561</v>
      </c>
      <c r="F361" s="13" t="s">
        <v>1315</v>
      </c>
      <c r="G361" s="11"/>
      <c r="H361" s="11"/>
      <c r="I361" s="14">
        <v>0</v>
      </c>
      <c r="J361" s="14">
        <v>0</v>
      </c>
      <c r="K361" s="15" t="str">
        <f t="shared" ref="K361:K364" si="63">HYPERLINK("http://twitter.com/download/android","Twitter for Android")</f>
        <v>Twitter for Android</v>
      </c>
      <c r="L361" s="14">
        <v>86</v>
      </c>
      <c r="M361" s="14">
        <v>326</v>
      </c>
      <c r="N361" s="14">
        <v>3</v>
      </c>
      <c r="O361" s="16"/>
      <c r="P361" s="6">
        <v>40579.609120370369</v>
      </c>
      <c r="Q361" s="12" t="s">
        <v>1317</v>
      </c>
      <c r="R361" s="17" t="s">
        <v>1318</v>
      </c>
      <c r="S361" s="11"/>
      <c r="T361" s="11"/>
      <c r="U361" s="10" t="str">
        <f>HYPERLINK("https://pbs.twimg.com/profile_images/636440060313882624/Wqgbnt_1.jpg","View")</f>
        <v>View</v>
      </c>
    </row>
    <row r="362" spans="1:21" ht="51">
      <c r="A362" s="6">
        <v>43441.547222222223</v>
      </c>
      <c r="B362" s="7" t="str">
        <f>HYPERLINK("https://twitter.com/pachienriquez1","@pachienriquez1")</f>
        <v>@pachienriquez1</v>
      </c>
      <c r="C362" s="8" t="s">
        <v>1320</v>
      </c>
      <c r="D362" s="9" t="s">
        <v>39</v>
      </c>
      <c r="E362" s="10" t="str">
        <f>HYPERLINK("https://twitter.com/pachienriquez1/status/1071013455329550336","1071013455329550336")</f>
        <v>1071013455329550336</v>
      </c>
      <c r="F362" s="13" t="s">
        <v>1321</v>
      </c>
      <c r="G362" s="11"/>
      <c r="H362" s="11"/>
      <c r="I362" s="14">
        <v>0</v>
      </c>
      <c r="J362" s="14">
        <v>0</v>
      </c>
      <c r="K362" s="15" t="str">
        <f t="shared" si="63"/>
        <v>Twitter for Android</v>
      </c>
      <c r="L362" s="14">
        <v>50</v>
      </c>
      <c r="M362" s="14">
        <v>46</v>
      </c>
      <c r="N362" s="14">
        <v>0</v>
      </c>
      <c r="O362" s="16"/>
      <c r="P362" s="6">
        <v>43132.75953703704</v>
      </c>
      <c r="Q362" s="12" t="s">
        <v>1322</v>
      </c>
      <c r="R362" s="17" t="s">
        <v>1323</v>
      </c>
      <c r="S362" s="11"/>
      <c r="T362" s="11"/>
      <c r="U362" s="10" t="str">
        <f>HYPERLINK("https://pbs.twimg.com/profile_images/1003931767244455936/hX3JgaMD.jpg","View")</f>
        <v>View</v>
      </c>
    </row>
    <row r="363" spans="1:21" ht="40.799999999999997">
      <c r="A363" s="6">
        <v>43441.547210648147</v>
      </c>
      <c r="B363" s="7" t="str">
        <f>HYPERLINK("https://twitter.com/ggarciaespejo","@ggarciaespejo")</f>
        <v>@ggarciaespejo</v>
      </c>
      <c r="C363" s="8" t="s">
        <v>1675</v>
      </c>
      <c r="D363" s="9" t="s">
        <v>225</v>
      </c>
      <c r="E363" s="10" t="str">
        <f>HYPERLINK("https://twitter.com/ggarciaespejo/status/1071013448685940737","1071013448685940737")</f>
        <v>1071013448685940737</v>
      </c>
      <c r="F363" s="13" t="s">
        <v>228</v>
      </c>
      <c r="G363" s="11"/>
      <c r="H363" s="11"/>
      <c r="I363" s="14">
        <v>0</v>
      </c>
      <c r="J363" s="14">
        <v>0</v>
      </c>
      <c r="K363" s="15" t="str">
        <f t="shared" si="63"/>
        <v>Twitter for Android</v>
      </c>
      <c r="L363" s="14">
        <v>915</v>
      </c>
      <c r="M363" s="14">
        <v>1315</v>
      </c>
      <c r="N363" s="14">
        <v>33</v>
      </c>
      <c r="O363" s="16"/>
      <c r="P363" s="6">
        <v>40676.694039351853</v>
      </c>
      <c r="Q363" s="12" t="s">
        <v>29</v>
      </c>
      <c r="R363" s="17" t="s">
        <v>1676</v>
      </c>
      <c r="S363" s="11"/>
      <c r="T363" s="11"/>
      <c r="U363" s="10" t="str">
        <f>HYPERLINK("https://pbs.twimg.com/profile_images/770259319103291392/sX8RLcD-.jpg","View")</f>
        <v>View</v>
      </c>
    </row>
    <row r="364" spans="1:21" ht="51">
      <c r="A364" s="6">
        <v>43441.545370370368</v>
      </c>
      <c r="B364" s="7" t="str">
        <f>HYPERLINK("https://twitter.com/arcovi1","@arcovi1")</f>
        <v>@arcovi1</v>
      </c>
      <c r="C364" s="8" t="s">
        <v>1326</v>
      </c>
      <c r="D364" s="9" t="s">
        <v>39</v>
      </c>
      <c r="E364" s="10" t="str">
        <f>HYPERLINK("https://twitter.com/arcovi1/status/1071012784543019008","1071012784543019008")</f>
        <v>1071012784543019008</v>
      </c>
      <c r="F364" s="13" t="s">
        <v>1328</v>
      </c>
      <c r="G364" s="11"/>
      <c r="H364" s="11"/>
      <c r="I364" s="14">
        <v>0</v>
      </c>
      <c r="J364" s="14">
        <v>0</v>
      </c>
      <c r="K364" s="15" t="str">
        <f t="shared" si="63"/>
        <v>Twitter for Android</v>
      </c>
      <c r="L364" s="14">
        <v>565</v>
      </c>
      <c r="M364" s="14">
        <v>455</v>
      </c>
      <c r="N364" s="14">
        <v>7</v>
      </c>
      <c r="O364" s="16"/>
      <c r="P364" s="6">
        <v>40872.624085648145</v>
      </c>
      <c r="Q364" s="12" t="s">
        <v>1331</v>
      </c>
      <c r="R364" s="17" t="s">
        <v>1332</v>
      </c>
      <c r="S364" s="11"/>
      <c r="T364" s="11"/>
      <c r="U364" s="10" t="str">
        <f>HYPERLINK("https://pbs.twimg.com/profile_images/990694847223824386/SJaqCIGQ.jpg","View")</f>
        <v>View</v>
      </c>
    </row>
    <row r="365" spans="1:21" ht="51">
      <c r="A365" s="6">
        <v>43441.544571759259</v>
      </c>
      <c r="B365" s="7" t="str">
        <f>HYPERLINK("https://twitter.com/MonederoJC","@MonederoJC")</f>
        <v>@MonederoJC</v>
      </c>
      <c r="C365" s="8" t="s">
        <v>1681</v>
      </c>
      <c r="D365" s="9" t="s">
        <v>1682</v>
      </c>
      <c r="E365" s="10" t="str">
        <f>HYPERLINK("https://twitter.com/MonederoJC/status/1071012494896975872","1071012494896975872")</f>
        <v>1071012494896975872</v>
      </c>
      <c r="F365" s="13" t="s">
        <v>228</v>
      </c>
      <c r="G365" s="11"/>
      <c r="H365" s="11"/>
      <c r="I365" s="14">
        <v>1040</v>
      </c>
      <c r="J365" s="14">
        <v>1129</v>
      </c>
      <c r="K365" s="15" t="str">
        <f t="shared" ref="K365:K366" si="64">HYPERLINK("http://twitter.com","Twitter Web Client")</f>
        <v>Twitter Web Client</v>
      </c>
      <c r="L365" s="14">
        <v>495864</v>
      </c>
      <c r="M365" s="14">
        <v>924</v>
      </c>
      <c r="N365" s="14">
        <v>2810</v>
      </c>
      <c r="O365" s="19" t="s">
        <v>42</v>
      </c>
      <c r="P365" s="6">
        <v>40204.786712962959</v>
      </c>
      <c r="Q365" s="12" t="s">
        <v>29</v>
      </c>
      <c r="R365" s="17" t="s">
        <v>1686</v>
      </c>
      <c r="S365" s="13" t="s">
        <v>1687</v>
      </c>
      <c r="T365" s="11"/>
      <c r="U365" s="10" t="str">
        <f>HYPERLINK("https://pbs.twimg.com/profile_images/1058778787503054853/uJpY9XIx.jpg","View")</f>
        <v>View</v>
      </c>
    </row>
    <row r="366" spans="1:21" ht="71.400000000000006">
      <c r="A366" s="6">
        <v>43441.542361111111</v>
      </c>
      <c r="B366" s="7" t="str">
        <f>HYPERLINK("https://twitter.com/MarcosJF17","@MarcosJF17")</f>
        <v>@MarcosJF17</v>
      </c>
      <c r="C366" s="8" t="s">
        <v>1691</v>
      </c>
      <c r="D366" s="9" t="s">
        <v>1692</v>
      </c>
      <c r="E366" s="10" t="str">
        <f>HYPERLINK("https://twitter.com/MarcosJF17/status/1071011690228211712","1071011690228211712")</f>
        <v>1071011690228211712</v>
      </c>
      <c r="F366" s="13" t="s">
        <v>1693</v>
      </c>
      <c r="G366" s="13" t="s">
        <v>1694</v>
      </c>
      <c r="H366" s="11"/>
      <c r="I366" s="14">
        <v>0</v>
      </c>
      <c r="J366" s="14">
        <v>0</v>
      </c>
      <c r="K366" s="15" t="str">
        <f t="shared" si="64"/>
        <v>Twitter Web Client</v>
      </c>
      <c r="L366" s="14">
        <v>764</v>
      </c>
      <c r="M366" s="14">
        <v>218</v>
      </c>
      <c r="N366" s="14">
        <v>63</v>
      </c>
      <c r="O366" s="16"/>
      <c r="P366" s="6">
        <v>40860.962337962963</v>
      </c>
      <c r="Q366" s="12" t="s">
        <v>1695</v>
      </c>
      <c r="R366" s="17" t="s">
        <v>1696</v>
      </c>
      <c r="S366" s="11"/>
      <c r="T366" s="11"/>
      <c r="U366" s="10" t="str">
        <f>HYPERLINK("https://pbs.twimg.com/profile_images/1066668141789540352/rr3qHbMw.jpg","View")</f>
        <v>View</v>
      </c>
    </row>
    <row r="367" spans="1:21" ht="13.2">
      <c r="A367" s="6">
        <v>43441.541134259256</v>
      </c>
      <c r="B367" s="7" t="str">
        <f>HYPERLINK("https://twitter.com/OdJordi","@OdJordi")</f>
        <v>@OdJordi</v>
      </c>
      <c r="C367" s="8" t="s">
        <v>1335</v>
      </c>
      <c r="D367" s="9" t="s">
        <v>1336</v>
      </c>
      <c r="E367" s="10" t="str">
        <f>HYPERLINK("https://twitter.com/OdJordi/status/1071011248869912576","1071011248869912576")</f>
        <v>1071011248869912576</v>
      </c>
      <c r="F367" s="11"/>
      <c r="G367" s="13" t="s">
        <v>1337</v>
      </c>
      <c r="H367" s="11"/>
      <c r="I367" s="14">
        <v>0</v>
      </c>
      <c r="J367" s="14">
        <v>0</v>
      </c>
      <c r="K367" s="15" t="str">
        <f>HYPERLINK("http://twitter.com/download/iphone","Twitter for iPhone")</f>
        <v>Twitter for iPhone</v>
      </c>
      <c r="L367" s="14">
        <v>137</v>
      </c>
      <c r="M367" s="14">
        <v>349</v>
      </c>
      <c r="N367" s="14">
        <v>1</v>
      </c>
      <c r="O367" s="16"/>
      <c r="P367" s="6">
        <v>43364.784398148149</v>
      </c>
      <c r="Q367" s="12" t="s">
        <v>1338</v>
      </c>
      <c r="R367" s="17" t="s">
        <v>1339</v>
      </c>
      <c r="S367" s="11"/>
      <c r="T367" s="11"/>
      <c r="U367" s="10" t="str">
        <f>HYPERLINK("https://pbs.twimg.com/profile_images/1051850895523278848/MJfJWY0y.jpg","View")</f>
        <v>View</v>
      </c>
    </row>
    <row r="368" spans="1:21" ht="61.2">
      <c r="A368" s="6">
        <v>43441.539803240739</v>
      </c>
      <c r="B368" s="7" t="str">
        <f>HYPERLINK("https://twitter.com/estelocantabro","@estelocantabro")</f>
        <v>@estelocantabro</v>
      </c>
      <c r="C368" s="8" t="s">
        <v>1348</v>
      </c>
      <c r="D368" s="9" t="s">
        <v>1349</v>
      </c>
      <c r="E368" s="10" t="str">
        <f>HYPERLINK("https://twitter.com/estelocantabro/status/1071010763689652225","1071010763689652225")</f>
        <v>1071010763689652225</v>
      </c>
      <c r="F368" s="11"/>
      <c r="G368" s="11"/>
      <c r="H368" s="11"/>
      <c r="I368" s="14">
        <v>0</v>
      </c>
      <c r="J368" s="14">
        <v>0</v>
      </c>
      <c r="K368" s="15" t="str">
        <f t="shared" ref="K368:K369" si="65">HYPERLINK("http://twitter.com/download/android","Twitter for Android")</f>
        <v>Twitter for Android</v>
      </c>
      <c r="L368" s="14">
        <v>44</v>
      </c>
      <c r="M368" s="14">
        <v>150</v>
      </c>
      <c r="N368" s="14">
        <v>0</v>
      </c>
      <c r="O368" s="16"/>
      <c r="P368" s="6">
        <v>41865.851365740738</v>
      </c>
      <c r="Q368" s="12" t="s">
        <v>29</v>
      </c>
      <c r="R368" s="17" t="s">
        <v>1350</v>
      </c>
      <c r="S368" s="11"/>
      <c r="T368" s="11"/>
      <c r="U368" s="10" t="str">
        <f>HYPERLINK("https://pbs.twimg.com/profile_images/1049196910865797120/3Le6Nh8a.jpg","View")</f>
        <v>View</v>
      </c>
    </row>
    <row r="369" spans="1:21" ht="61.2">
      <c r="A369" s="6">
        <v>43441.537754629629</v>
      </c>
      <c r="B369" s="7" t="str">
        <f>HYPERLINK("https://twitter.com/UriCAT84","@UriCAT84")</f>
        <v>@UriCAT84</v>
      </c>
      <c r="C369" s="8" t="s">
        <v>81</v>
      </c>
      <c r="D369" s="9" t="s">
        <v>1351</v>
      </c>
      <c r="E369" s="10" t="str">
        <f>HYPERLINK("https://twitter.com/UriCAT84/status/1071010021574631424","1071010021574631424")</f>
        <v>1071010021574631424</v>
      </c>
      <c r="F369" s="11"/>
      <c r="G369" s="13" t="s">
        <v>1352</v>
      </c>
      <c r="H369" s="11"/>
      <c r="I369" s="14">
        <v>0</v>
      </c>
      <c r="J369" s="14">
        <v>1</v>
      </c>
      <c r="K369" s="15" t="str">
        <f t="shared" si="65"/>
        <v>Twitter for Android</v>
      </c>
      <c r="L369" s="14">
        <v>1229</v>
      </c>
      <c r="M369" s="14">
        <v>2065</v>
      </c>
      <c r="N369" s="14">
        <v>0</v>
      </c>
      <c r="O369" s="16"/>
      <c r="P369" s="6">
        <v>40701.65960648148</v>
      </c>
      <c r="Q369" s="11"/>
      <c r="R369" s="18"/>
      <c r="S369" s="11"/>
      <c r="T369" s="11"/>
      <c r="U369" s="10" t="str">
        <f>HYPERLINK("https://pbs.twimg.com/profile_images/915586738516561920/C960_H5-.jpg","View")</f>
        <v>View</v>
      </c>
    </row>
    <row r="370" spans="1:21" ht="112.2">
      <c r="A370" s="6">
        <v>43441.536782407406</v>
      </c>
      <c r="B370" s="7" t="str">
        <f>HYPERLINK("https://twitter.com/farlosto","@farlosto")</f>
        <v>@farlosto</v>
      </c>
      <c r="C370" s="8" t="s">
        <v>1353</v>
      </c>
      <c r="D370" s="9" t="s">
        <v>1354</v>
      </c>
      <c r="E370" s="10" t="str">
        <f>HYPERLINK("https://twitter.com/farlosto/status/1071009668921769986","1071009668921769986")</f>
        <v>1071009668921769986</v>
      </c>
      <c r="F370" s="13" t="s">
        <v>1355</v>
      </c>
      <c r="G370" s="13" t="s">
        <v>1356</v>
      </c>
      <c r="H370" s="11"/>
      <c r="I370" s="14">
        <v>0</v>
      </c>
      <c r="J370" s="14">
        <v>0</v>
      </c>
      <c r="K370" s="15" t="str">
        <f>HYPERLINK("http://twitter.com","Twitter Web Client")</f>
        <v>Twitter Web Client</v>
      </c>
      <c r="L370" s="14">
        <v>195</v>
      </c>
      <c r="M370" s="14">
        <v>264</v>
      </c>
      <c r="N370" s="14">
        <v>1</v>
      </c>
      <c r="O370" s="16"/>
      <c r="P370" s="6">
        <v>40619.07984953704</v>
      </c>
      <c r="Q370" s="12" t="s">
        <v>295</v>
      </c>
      <c r="R370" s="17" t="s">
        <v>1357</v>
      </c>
      <c r="S370" s="11"/>
      <c r="T370" s="11"/>
      <c r="U370" s="10" t="str">
        <f>HYPERLINK("https://pbs.twimg.com/profile_images/1069717518976200706/ZQTjqZKx.jpg","View")</f>
        <v>View</v>
      </c>
    </row>
    <row r="371" spans="1:21" ht="112.2">
      <c r="A371" s="6">
        <v>43441.535636574074</v>
      </c>
      <c r="B371" s="7" t="str">
        <f>HYPERLINK("https://twitter.com/UriCAT84","@UriCAT84")</f>
        <v>@UriCAT84</v>
      </c>
      <c r="C371" s="8" t="s">
        <v>81</v>
      </c>
      <c r="D371" s="9" t="s">
        <v>1358</v>
      </c>
      <c r="E371" s="10" t="str">
        <f>HYPERLINK("https://twitter.com/UriCAT84/status/1071009254952394752","1071009254952394752")</f>
        <v>1071009254952394752</v>
      </c>
      <c r="F371" s="13" t="s">
        <v>85</v>
      </c>
      <c r="G371" s="13" t="s">
        <v>86</v>
      </c>
      <c r="H371" s="11"/>
      <c r="I371" s="14">
        <v>0</v>
      </c>
      <c r="J371" s="14">
        <v>1</v>
      </c>
      <c r="K371" s="15" t="str">
        <f t="shared" ref="K371:K372" si="66">HYPERLINK("http://twitter.com/download/android","Twitter for Android")</f>
        <v>Twitter for Android</v>
      </c>
      <c r="L371" s="14">
        <v>1229</v>
      </c>
      <c r="M371" s="14">
        <v>2065</v>
      </c>
      <c r="N371" s="14">
        <v>0</v>
      </c>
      <c r="O371" s="16"/>
      <c r="P371" s="6">
        <v>40701.65960648148</v>
      </c>
      <c r="Q371" s="11"/>
      <c r="R371" s="18"/>
      <c r="S371" s="11"/>
      <c r="T371" s="11"/>
      <c r="U371" s="10" t="str">
        <f>HYPERLINK("https://pbs.twimg.com/profile_images/915586738516561920/C960_H5-.jpg","View")</f>
        <v>View</v>
      </c>
    </row>
    <row r="372" spans="1:21" ht="40.799999999999997">
      <c r="A372" s="6">
        <v>43441.533877314811</v>
      </c>
      <c r="B372" s="7" t="str">
        <f>HYPERLINK("https://twitter.com/Gauchoastur","@Gauchoastur")</f>
        <v>@Gauchoastur</v>
      </c>
      <c r="C372" s="8" t="s">
        <v>1359</v>
      </c>
      <c r="D372" s="9" t="s">
        <v>1360</v>
      </c>
      <c r="E372" s="10" t="str">
        <f>HYPERLINK("https://twitter.com/Gauchoastur/status/1071008616017203201","1071008616017203201")</f>
        <v>1071008616017203201</v>
      </c>
      <c r="F372" s="12" t="s">
        <v>1361</v>
      </c>
      <c r="G372" s="11"/>
      <c r="H372" s="11"/>
      <c r="I372" s="14">
        <v>0</v>
      </c>
      <c r="J372" s="14">
        <v>0</v>
      </c>
      <c r="K372" s="15" t="str">
        <f t="shared" si="66"/>
        <v>Twitter for Android</v>
      </c>
      <c r="L372" s="14">
        <v>183</v>
      </c>
      <c r="M372" s="14">
        <v>341</v>
      </c>
      <c r="N372" s="14">
        <v>3</v>
      </c>
      <c r="O372" s="16"/>
      <c r="P372" s="6">
        <v>40186.589942129627</v>
      </c>
      <c r="Q372" s="12" t="s">
        <v>137</v>
      </c>
      <c r="R372" s="18"/>
      <c r="S372" s="11"/>
      <c r="T372" s="11"/>
      <c r="U372" s="10" t="str">
        <f>HYPERLINK("https://pbs.twimg.com/profile_images/589405153121415168/K3Rqu5wL.png","View")</f>
        <v>View</v>
      </c>
    </row>
    <row r="373" spans="1:21" ht="30.6">
      <c r="A373" s="6">
        <v>43441.533634259264</v>
      </c>
      <c r="B373" s="7" t="str">
        <f>HYPERLINK("https://twitter.com/PerifericaLabs","@PerifericaLabs")</f>
        <v>@PerifericaLabs</v>
      </c>
      <c r="C373" s="8" t="s">
        <v>1714</v>
      </c>
      <c r="D373" s="9" t="s">
        <v>1715</v>
      </c>
      <c r="E373" s="10" t="str">
        <f>HYPERLINK("https://twitter.com/PerifericaLabs/status/1071008531485220866","1071008531485220866")</f>
        <v>1071008531485220866</v>
      </c>
      <c r="F373" s="13" t="s">
        <v>1716</v>
      </c>
      <c r="G373" s="11"/>
      <c r="H373" s="11"/>
      <c r="I373" s="14">
        <v>0</v>
      </c>
      <c r="J373" s="14">
        <v>0</v>
      </c>
      <c r="K373" s="15" t="str">
        <f>HYPERLINK("http://www.facebook.com/twitter","Facebook")</f>
        <v>Facebook</v>
      </c>
      <c r="L373" s="14">
        <v>657</v>
      </c>
      <c r="M373" s="14">
        <v>594</v>
      </c>
      <c r="N373" s="14">
        <v>15</v>
      </c>
      <c r="O373" s="16"/>
      <c r="P373" s="6">
        <v>41898.018310185187</v>
      </c>
      <c r="Q373" s="12" t="s">
        <v>1717</v>
      </c>
      <c r="R373" s="17" t="s">
        <v>1718</v>
      </c>
      <c r="S373" s="11"/>
      <c r="T373" s="11"/>
      <c r="U373" s="10" t="str">
        <f>HYPERLINK("https://pbs.twimg.com/profile_images/654135636920803328/hjm6Cnr_.jpg","View")</f>
        <v>View</v>
      </c>
    </row>
    <row r="374" spans="1:21" ht="40.799999999999997">
      <c r="A374" s="6">
        <v>43441.527326388888</v>
      </c>
      <c r="B374" s="7" t="str">
        <f>HYPERLINK("https://twitter.com/HoyPorHoy","@HoyPorHoy")</f>
        <v>@HoyPorHoy</v>
      </c>
      <c r="C374" s="8" t="s">
        <v>1721</v>
      </c>
      <c r="D374" s="9" t="s">
        <v>1722</v>
      </c>
      <c r="E374" s="10" t="str">
        <f>HYPERLINK("https://twitter.com/HoyPorHoy/status/1071006242120888326","1071006242120888326")</f>
        <v>1071006242120888326</v>
      </c>
      <c r="F374" s="11"/>
      <c r="G374" s="11"/>
      <c r="H374" s="11"/>
      <c r="I374" s="14">
        <v>17</v>
      </c>
      <c r="J374" s="14">
        <v>41</v>
      </c>
      <c r="K374" s="15" t="str">
        <f>HYPERLINK("http://twitter.com/download/iphone","Twitter for iPhone")</f>
        <v>Twitter for iPhone</v>
      </c>
      <c r="L374" s="14">
        <v>151841</v>
      </c>
      <c r="M374" s="14">
        <v>549</v>
      </c>
      <c r="N374" s="14">
        <v>1957</v>
      </c>
      <c r="O374" s="19" t="s">
        <v>42</v>
      </c>
      <c r="P374" s="6">
        <v>40524.8125</v>
      </c>
      <c r="Q374" s="12" t="s">
        <v>1724</v>
      </c>
      <c r="R374" s="17" t="s">
        <v>1725</v>
      </c>
      <c r="S374" s="13" t="s">
        <v>1726</v>
      </c>
      <c r="T374" s="11"/>
      <c r="U374" s="10" t="str">
        <f>HYPERLINK("https://pbs.twimg.com/profile_images/1048055720007163905/tEd_7iXy.jpg","View")</f>
        <v>View</v>
      </c>
    </row>
    <row r="375" spans="1:21" ht="51">
      <c r="A375" s="6">
        <v>43441.524398148147</v>
      </c>
      <c r="B375" s="7" t="str">
        <f>HYPERLINK("https://twitter.com/MayorDundee","@MayorDundee")</f>
        <v>@MayorDundee</v>
      </c>
      <c r="C375" s="8" t="s">
        <v>1362</v>
      </c>
      <c r="D375" s="9" t="s">
        <v>39</v>
      </c>
      <c r="E375" s="10" t="str">
        <f>HYPERLINK("https://twitter.com/MayorDundee/status/1071005183197569024","1071005183197569024")</f>
        <v>1071005183197569024</v>
      </c>
      <c r="F375" s="13" t="s">
        <v>1365</v>
      </c>
      <c r="G375" s="11"/>
      <c r="H375" s="11"/>
      <c r="I375" s="14">
        <v>0</v>
      </c>
      <c r="J375" s="14">
        <v>0</v>
      </c>
      <c r="K375" s="15" t="str">
        <f t="shared" ref="K375:K376" si="67">HYPERLINK("http://twitter.com","Twitter Web Client")</f>
        <v>Twitter Web Client</v>
      </c>
      <c r="L375" s="14">
        <v>111</v>
      </c>
      <c r="M375" s="14">
        <v>301</v>
      </c>
      <c r="N375" s="14">
        <v>5</v>
      </c>
      <c r="O375" s="16"/>
      <c r="P375" s="6">
        <v>41521.095891203702</v>
      </c>
      <c r="Q375" s="12" t="s">
        <v>1370</v>
      </c>
      <c r="R375" s="17" t="s">
        <v>1371</v>
      </c>
      <c r="S375" s="11"/>
      <c r="T375" s="11"/>
      <c r="U375" s="10" t="str">
        <f>HYPERLINK("https://pbs.twimg.com/profile_images/755796765476003840/0x81tsDq.jpg","View")</f>
        <v>View</v>
      </c>
    </row>
    <row r="376" spans="1:21" ht="51">
      <c r="A376" s="6">
        <v>43441.522696759261</v>
      </c>
      <c r="B376" s="7" t="str">
        <f>HYPERLINK("https://twitter.com/_Gafas_y_reloj_","@_Gafas_y_reloj_")</f>
        <v>@_Gafas_y_reloj_</v>
      </c>
      <c r="C376" s="8" t="s">
        <v>284</v>
      </c>
      <c r="D376" s="9" t="s">
        <v>1372</v>
      </c>
      <c r="E376" s="10" t="str">
        <f>HYPERLINK("https://twitter.com/_Gafas_y_reloj_/status/1071004566894845952","1071004566894845952")</f>
        <v>1071004566894845952</v>
      </c>
      <c r="F376" s="13" t="s">
        <v>1373</v>
      </c>
      <c r="G376" s="13" t="s">
        <v>1374</v>
      </c>
      <c r="H376" s="11"/>
      <c r="I376" s="14">
        <v>0</v>
      </c>
      <c r="J376" s="14">
        <v>4</v>
      </c>
      <c r="K376" s="15" t="str">
        <f t="shared" si="67"/>
        <v>Twitter Web Client</v>
      </c>
      <c r="L376" s="14">
        <v>11839</v>
      </c>
      <c r="M376" s="14">
        <v>718</v>
      </c>
      <c r="N376" s="14">
        <v>194</v>
      </c>
      <c r="O376" s="16"/>
      <c r="P376" s="6">
        <v>40803.430173611108</v>
      </c>
      <c r="Q376" s="12" t="s">
        <v>288</v>
      </c>
      <c r="R376" s="17" t="s">
        <v>289</v>
      </c>
      <c r="S376" s="11"/>
      <c r="T376" s="11"/>
      <c r="U376" s="10" t="str">
        <f>HYPERLINK("https://pbs.twimg.com/profile_images/923940667965038593/LEd9tLut.jpg","View")</f>
        <v>View</v>
      </c>
    </row>
    <row r="377" spans="1:21" ht="51">
      <c r="A377" s="6">
        <v>43441.522476851853</v>
      </c>
      <c r="B377" s="7" t="str">
        <f>HYPERLINK("https://twitter.com/GuajeSalvaje","@GuajeSalvaje")</f>
        <v>@GuajeSalvaje</v>
      </c>
      <c r="C377" s="8" t="s">
        <v>1728</v>
      </c>
      <c r="D377" s="9" t="s">
        <v>1729</v>
      </c>
      <c r="E377" s="10" t="str">
        <f>HYPERLINK("https://twitter.com/GuajeSalvaje/status/1071004487186292737","1071004487186292737")</f>
        <v>1071004487186292737</v>
      </c>
      <c r="F377" s="13" t="s">
        <v>1731</v>
      </c>
      <c r="G377" s="11"/>
      <c r="H377" s="11"/>
      <c r="I377" s="14">
        <v>76</v>
      </c>
      <c r="J377" s="14">
        <v>121</v>
      </c>
      <c r="K377" s="15" t="str">
        <f t="shared" ref="K377:K378" si="68">HYPERLINK("http://twitter.com/download/android","Twitter for Android")</f>
        <v>Twitter for Android</v>
      </c>
      <c r="L377" s="14">
        <v>25791</v>
      </c>
      <c r="M377" s="14">
        <v>6101</v>
      </c>
      <c r="N377" s="14">
        <v>117</v>
      </c>
      <c r="O377" s="16"/>
      <c r="P377" s="6">
        <v>43020.705578703702</v>
      </c>
      <c r="Q377" s="12" t="s">
        <v>521</v>
      </c>
      <c r="R377" s="17" t="s">
        <v>1733</v>
      </c>
      <c r="S377" s="11"/>
      <c r="T377" s="11"/>
      <c r="U377" s="10" t="str">
        <f>HYPERLINK("https://pbs.twimg.com/profile_images/918501506097311755/uqEJjgtg.jpg","View")</f>
        <v>View</v>
      </c>
    </row>
    <row r="378" spans="1:21" ht="51">
      <c r="A378" s="6">
        <v>43441.521921296298</v>
      </c>
      <c r="B378" s="7" t="str">
        <f>HYPERLINK("https://twitter.com/titanin1969","@titanin1969")</f>
        <v>@titanin1969</v>
      </c>
      <c r="C378" s="8" t="s">
        <v>1375</v>
      </c>
      <c r="D378" s="9" t="s">
        <v>39</v>
      </c>
      <c r="E378" s="10" t="str">
        <f>HYPERLINK("https://twitter.com/titanin1969/status/1071004285188665345","1071004285188665345")</f>
        <v>1071004285188665345</v>
      </c>
      <c r="F378" s="13" t="s">
        <v>1376</v>
      </c>
      <c r="G378" s="11"/>
      <c r="H378" s="11"/>
      <c r="I378" s="14">
        <v>6</v>
      </c>
      <c r="J378" s="14">
        <v>5</v>
      </c>
      <c r="K378" s="15" t="str">
        <f t="shared" si="68"/>
        <v>Twitter for Android</v>
      </c>
      <c r="L378" s="14">
        <v>620</v>
      </c>
      <c r="M378" s="14">
        <v>1254</v>
      </c>
      <c r="N378" s="14">
        <v>4</v>
      </c>
      <c r="O378" s="16"/>
      <c r="P378" s="6">
        <v>42366.913101851853</v>
      </c>
      <c r="Q378" s="12" t="s">
        <v>1377</v>
      </c>
      <c r="R378" s="17" t="s">
        <v>1378</v>
      </c>
      <c r="S378" s="11"/>
      <c r="T378" s="11"/>
      <c r="U378" s="10" t="str">
        <f>HYPERLINK("https://pbs.twimg.com/profile_images/1059028960607121408/Nv0mW2ND.jpg","View")</f>
        <v>View</v>
      </c>
    </row>
    <row r="379" spans="1:21" ht="61.2">
      <c r="A379" s="6">
        <v>43441.521481481483</v>
      </c>
      <c r="B379" s="7" t="str">
        <f>HYPERLINK("https://twitter.com/Mediagua","@Mediagua")</f>
        <v>@Mediagua</v>
      </c>
      <c r="C379" s="8" t="s">
        <v>1379</v>
      </c>
      <c r="D379" s="9" t="s">
        <v>1380</v>
      </c>
      <c r="E379" s="10" t="str">
        <f>HYPERLINK("https://twitter.com/Mediagua/status/1071004124819439617","1071004124819439617")</f>
        <v>1071004124819439617</v>
      </c>
      <c r="F379" s="11"/>
      <c r="G379" s="11"/>
      <c r="H379" s="11"/>
      <c r="I379" s="14">
        <v>0</v>
      </c>
      <c r="J379" s="14">
        <v>1</v>
      </c>
      <c r="K379" s="15" t="str">
        <f t="shared" ref="K379:K380" si="69">HYPERLINK("http://twitter.com","Twitter Web Client")</f>
        <v>Twitter Web Client</v>
      </c>
      <c r="L379" s="14">
        <v>517</v>
      </c>
      <c r="M379" s="14">
        <v>500</v>
      </c>
      <c r="N379" s="14">
        <v>7</v>
      </c>
      <c r="O379" s="16"/>
      <c r="P379" s="6">
        <v>42237.538784722223</v>
      </c>
      <c r="Q379" s="12" t="s">
        <v>1385</v>
      </c>
      <c r="R379" s="18"/>
      <c r="S379" s="11"/>
      <c r="T379" s="11"/>
      <c r="U379" s="10" t="str">
        <f>HYPERLINK("https://pbs.twimg.com/profile_images/634680532404707328/PDaGkIJ0.jpg","View")</f>
        <v>View</v>
      </c>
    </row>
    <row r="380" spans="1:21" ht="51">
      <c r="A380" s="6">
        <v>43441.517604166671</v>
      </c>
      <c r="B380" s="7" t="str">
        <f>HYPERLINK("https://twitter.com/remanganes","@remanganes")</f>
        <v>@remanganes</v>
      </c>
      <c r="C380" s="8" t="s">
        <v>1390</v>
      </c>
      <c r="D380" s="9" t="s">
        <v>39</v>
      </c>
      <c r="E380" s="10" t="str">
        <f>HYPERLINK("https://twitter.com/remanganes/status/1071002722231574528","1071002722231574528")</f>
        <v>1071002722231574528</v>
      </c>
      <c r="F380" s="13" t="s">
        <v>1391</v>
      </c>
      <c r="G380" s="11"/>
      <c r="H380" s="11"/>
      <c r="I380" s="14">
        <v>0</v>
      </c>
      <c r="J380" s="14">
        <v>0</v>
      </c>
      <c r="K380" s="15" t="str">
        <f t="shared" si="69"/>
        <v>Twitter Web Client</v>
      </c>
      <c r="L380" s="14">
        <v>1425</v>
      </c>
      <c r="M380" s="14">
        <v>1467</v>
      </c>
      <c r="N380" s="14">
        <v>23</v>
      </c>
      <c r="O380" s="16"/>
      <c r="P380" s="6">
        <v>40101.183055555557</v>
      </c>
      <c r="Q380" s="12" t="s">
        <v>137</v>
      </c>
      <c r="R380" s="17" t="s">
        <v>1395</v>
      </c>
      <c r="S380" s="11"/>
      <c r="T380" s="11"/>
      <c r="U380" s="10" t="str">
        <f>HYPERLINK("https://pbs.twimg.com/profile_images/664624287194681344/-Mt0Ge13.jpg","View")</f>
        <v>View</v>
      </c>
    </row>
    <row r="381" spans="1:21" ht="51">
      <c r="A381" s="6">
        <v>43441.517581018517</v>
      </c>
      <c r="B381" s="7" t="str">
        <f>HYPERLINK("https://twitter.com/kruppa12","@kruppa12")</f>
        <v>@kruppa12</v>
      </c>
      <c r="C381" s="8" t="s">
        <v>1396</v>
      </c>
      <c r="D381" s="9" t="s">
        <v>39</v>
      </c>
      <c r="E381" s="10" t="str">
        <f>HYPERLINK("https://twitter.com/kruppa12/status/1071002713180332032","1071002713180332032")</f>
        <v>1071002713180332032</v>
      </c>
      <c r="F381" s="13" t="s">
        <v>1397</v>
      </c>
      <c r="G381" s="11"/>
      <c r="H381" s="11"/>
      <c r="I381" s="14">
        <v>0</v>
      </c>
      <c r="J381" s="14">
        <v>0</v>
      </c>
      <c r="K381" s="15" t="str">
        <f>HYPERLINK("http://twitter.com/download/android","Twitter for Android")</f>
        <v>Twitter for Android</v>
      </c>
      <c r="L381" s="14">
        <v>1064</v>
      </c>
      <c r="M381" s="14">
        <v>2214</v>
      </c>
      <c r="N381" s="14">
        <v>7</v>
      </c>
      <c r="O381" s="16"/>
      <c r="P381" s="6">
        <v>40509.697743055556</v>
      </c>
      <c r="Q381" s="12" t="s">
        <v>1398</v>
      </c>
      <c r="R381" s="17" t="s">
        <v>1399</v>
      </c>
      <c r="S381" s="11"/>
      <c r="T381" s="11"/>
      <c r="U381" s="10" t="str">
        <f>HYPERLINK("https://pbs.twimg.com/profile_images/1066425509947604992/Db2S_8-T.jpg","View")</f>
        <v>View</v>
      </c>
    </row>
    <row r="382" spans="1:21" ht="51">
      <c r="A382" s="6">
        <v>43441.516087962962</v>
      </c>
      <c r="B382" s="7" t="str">
        <f>HYPERLINK("https://twitter.com/bienve_ferrer","@bienve_ferrer")</f>
        <v>@bienve_ferrer</v>
      </c>
      <c r="C382" s="8" t="s">
        <v>1400</v>
      </c>
      <c r="D382" s="9" t="s">
        <v>39</v>
      </c>
      <c r="E382" s="10" t="str">
        <f>HYPERLINK("https://twitter.com/bienve_ferrer/status/1071002169015525376","1071002169015525376")</f>
        <v>1071002169015525376</v>
      </c>
      <c r="F382" s="13" t="s">
        <v>1401</v>
      </c>
      <c r="G382" s="11"/>
      <c r="H382" s="11"/>
      <c r="I382" s="14">
        <v>0</v>
      </c>
      <c r="J382" s="14">
        <v>0</v>
      </c>
      <c r="K382" s="15" t="str">
        <f>HYPERLINK("http://twitter.com","Twitter Web Client")</f>
        <v>Twitter Web Client</v>
      </c>
      <c r="L382" s="14">
        <v>161</v>
      </c>
      <c r="M382" s="14">
        <v>192</v>
      </c>
      <c r="N382" s="14">
        <v>2</v>
      </c>
      <c r="O382" s="16"/>
      <c r="P382" s="6">
        <v>42164.705196759256</v>
      </c>
      <c r="Q382" s="11"/>
      <c r="R382" s="18"/>
      <c r="S382" s="11"/>
      <c r="T382" s="11"/>
      <c r="U382" s="10" t="str">
        <f>HYPERLINK("https://pbs.twimg.com/profile_images/843515879459643392/I3djQGBD.jpg","View")</f>
        <v>View</v>
      </c>
    </row>
    <row r="383" spans="1:21" ht="30.6">
      <c r="A383" s="6">
        <v>43441.515949074077</v>
      </c>
      <c r="B383" s="7" t="str">
        <f>HYPERLINK("https://twitter.com/NicolsBote","@NicolsBote")</f>
        <v>@NicolsBote</v>
      </c>
      <c r="C383" s="8" t="s">
        <v>1749</v>
      </c>
      <c r="D383" s="9" t="s">
        <v>1750</v>
      </c>
      <c r="E383" s="10" t="str">
        <f>HYPERLINK("https://twitter.com/NicolsBote/status/1071002119531044865","1071002119531044865")</f>
        <v>1071002119531044865</v>
      </c>
      <c r="F383" s="11"/>
      <c r="G383" s="11"/>
      <c r="H383" s="11"/>
      <c r="I383" s="14">
        <v>1</v>
      </c>
      <c r="J383" s="14">
        <v>1</v>
      </c>
      <c r="K383" s="15" t="str">
        <f>HYPERLINK("http://twitter.com/download/android","Twitter for Android")</f>
        <v>Twitter for Android</v>
      </c>
      <c r="L383" s="14">
        <v>15443</v>
      </c>
      <c r="M383" s="14">
        <v>14827</v>
      </c>
      <c r="N383" s="14">
        <v>46</v>
      </c>
      <c r="O383" s="16"/>
      <c r="P383" s="6">
        <v>40823.843865740739</v>
      </c>
      <c r="Q383" s="12" t="s">
        <v>1752</v>
      </c>
      <c r="R383" s="17" t="s">
        <v>1753</v>
      </c>
      <c r="S383" s="11"/>
      <c r="T383" s="11"/>
      <c r="U383" s="10" t="str">
        <f>HYPERLINK("https://pbs.twimg.com/profile_images/922070156179918848/VyGWAmAm.jpg","View")</f>
        <v>View</v>
      </c>
    </row>
    <row r="384" spans="1:21" ht="40.799999999999997">
      <c r="A384" s="6">
        <v>43441.511458333334</v>
      </c>
      <c r="B384" s="7" t="str">
        <f>HYPERLINK("https://twitter.com/estoyharto1","@estoyharto1")</f>
        <v>@estoyharto1</v>
      </c>
      <c r="C384" s="8" t="s">
        <v>1404</v>
      </c>
      <c r="D384" s="9" t="s">
        <v>1405</v>
      </c>
      <c r="E384" s="10" t="str">
        <f>HYPERLINK("https://twitter.com/estoyharto1/status/1071000494615748608","1071000494615748608")</f>
        <v>1071000494615748608</v>
      </c>
      <c r="F384" s="11"/>
      <c r="G384" s="11"/>
      <c r="H384" s="11"/>
      <c r="I384" s="14">
        <v>0</v>
      </c>
      <c r="J384" s="14">
        <v>0</v>
      </c>
      <c r="K384" s="15" t="str">
        <f>HYPERLINK("http://twitter.com/download/iphone","Twitter for iPhone")</f>
        <v>Twitter for iPhone</v>
      </c>
      <c r="L384" s="14">
        <v>1464</v>
      </c>
      <c r="M384" s="14">
        <v>711</v>
      </c>
      <c r="N384" s="14">
        <v>5</v>
      </c>
      <c r="O384" s="16"/>
      <c r="P384" s="6">
        <v>41079.495462962965</v>
      </c>
      <c r="Q384" s="11"/>
      <c r="R384" s="17" t="s">
        <v>1408</v>
      </c>
      <c r="S384" s="11"/>
      <c r="T384" s="11"/>
      <c r="U384" s="10" t="str">
        <f>HYPERLINK("https://pbs.twimg.com/profile_images/917013967352016896/yPYBWVQf.jpg","View")</f>
        <v>View</v>
      </c>
    </row>
    <row r="385" spans="1:21" ht="40.799999999999997">
      <c r="A385" s="6">
        <v>43441.510891203703</v>
      </c>
      <c r="B385" s="7" t="str">
        <f>HYPERLINK("https://twitter.com/camachoapedro13","@camachoapedro13")</f>
        <v>@camachoapedro13</v>
      </c>
      <c r="C385" s="8" t="s">
        <v>1414</v>
      </c>
      <c r="D385" s="9" t="s">
        <v>1415</v>
      </c>
      <c r="E385" s="10" t="str">
        <f>HYPERLINK("https://twitter.com/camachoapedro13/status/1071000285886189568","1071000285886189568")</f>
        <v>1071000285886189568</v>
      </c>
      <c r="F385" s="11"/>
      <c r="G385" s="11"/>
      <c r="H385" s="11"/>
      <c r="I385" s="14">
        <v>0</v>
      </c>
      <c r="J385" s="14">
        <v>0</v>
      </c>
      <c r="K385" s="15" t="str">
        <f>HYPERLINK("http://twitter.com","Twitter Web Client")</f>
        <v>Twitter Web Client</v>
      </c>
      <c r="L385" s="14">
        <v>1039</v>
      </c>
      <c r="M385" s="14">
        <v>465</v>
      </c>
      <c r="N385" s="14">
        <v>3</v>
      </c>
      <c r="O385" s="16"/>
      <c r="P385" s="6">
        <v>40485.923148148147</v>
      </c>
      <c r="Q385" s="12" t="s">
        <v>1416</v>
      </c>
      <c r="R385" s="17" t="s">
        <v>1417</v>
      </c>
      <c r="S385" s="11"/>
      <c r="T385" s="11"/>
      <c r="U385" s="10" t="str">
        <f>HYPERLINK("https://pbs.twimg.com/profile_images/999036473088229376/yuZdX5JQ.jpg","View")</f>
        <v>View</v>
      </c>
    </row>
    <row r="386" spans="1:21" ht="20.399999999999999">
      <c r="A386" s="6">
        <v>43441.509502314817</v>
      </c>
      <c r="B386" s="7" t="str">
        <f>HYPERLINK("https://twitter.com/xavivill99","@xavivill99")</f>
        <v>@xavivill99</v>
      </c>
      <c r="C386" s="8" t="s">
        <v>1758</v>
      </c>
      <c r="D386" s="9" t="s">
        <v>1759</v>
      </c>
      <c r="E386" s="10" t="str">
        <f>HYPERLINK("https://twitter.com/xavivill99/status/1070999784356528128","1070999784356528128")</f>
        <v>1070999784356528128</v>
      </c>
      <c r="F386" s="11"/>
      <c r="G386" s="11"/>
      <c r="H386" s="11"/>
      <c r="I386" s="14">
        <v>1</v>
      </c>
      <c r="J386" s="14">
        <v>3</v>
      </c>
      <c r="K386" s="15" t="str">
        <f t="shared" ref="K386:K387" si="70">HYPERLINK("http://twitter.com/download/android","Twitter for Android")</f>
        <v>Twitter for Android</v>
      </c>
      <c r="L386" s="14">
        <v>641</v>
      </c>
      <c r="M386" s="14">
        <v>517</v>
      </c>
      <c r="N386" s="14">
        <v>1</v>
      </c>
      <c r="O386" s="16"/>
      <c r="P386" s="6">
        <v>41880.587430555555</v>
      </c>
      <c r="Q386" s="12" t="s">
        <v>1762</v>
      </c>
      <c r="R386" s="17" t="s">
        <v>1763</v>
      </c>
      <c r="S386" s="11"/>
      <c r="T386" s="11"/>
      <c r="U386" s="10" t="str">
        <f>HYPERLINK("https://pbs.twimg.com/profile_images/1064434868673744896/7FpCy63B.jpg","View")</f>
        <v>View</v>
      </c>
    </row>
    <row r="387" spans="1:21" ht="61.2">
      <c r="A387" s="6">
        <v>43441.507094907407</v>
      </c>
      <c r="B387" s="7" t="str">
        <f>HYPERLINK("https://twitter.com/adribaar14","@adribaar14")</f>
        <v>@adribaar14</v>
      </c>
      <c r="C387" s="8" t="s">
        <v>1421</v>
      </c>
      <c r="D387" s="9" t="s">
        <v>1422</v>
      </c>
      <c r="E387" s="10" t="str">
        <f>HYPERLINK("https://twitter.com/adribaar14/status/1070998911786078208","1070998911786078208")</f>
        <v>1070998911786078208</v>
      </c>
      <c r="F387" s="13" t="s">
        <v>1373</v>
      </c>
      <c r="G387" s="13" t="s">
        <v>1374</v>
      </c>
      <c r="H387" s="11"/>
      <c r="I387" s="14">
        <v>0</v>
      </c>
      <c r="J387" s="14">
        <v>2</v>
      </c>
      <c r="K387" s="15" t="str">
        <f t="shared" si="70"/>
        <v>Twitter for Android</v>
      </c>
      <c r="L387" s="14">
        <v>1214</v>
      </c>
      <c r="M387" s="14">
        <v>1334</v>
      </c>
      <c r="N387" s="14">
        <v>12</v>
      </c>
      <c r="O387" s="16"/>
      <c r="P387" s="6">
        <v>40466.937349537038</v>
      </c>
      <c r="Q387" s="12" t="s">
        <v>1423</v>
      </c>
      <c r="R387" s="17" t="s">
        <v>1424</v>
      </c>
      <c r="S387" s="13" t="s">
        <v>1425</v>
      </c>
      <c r="T387" s="11"/>
      <c r="U387" s="10" t="str">
        <f>HYPERLINK("https://pbs.twimg.com/profile_images/1069660993180090369/MPHnUtRT.jpg","View")</f>
        <v>View</v>
      </c>
    </row>
    <row r="388" spans="1:21" ht="40.799999999999997">
      <c r="A388" s="6">
        <v>43441.507037037038</v>
      </c>
      <c r="B388" s="7" t="str">
        <f>HYPERLINK("https://twitter.com/estoyharto1","@estoyharto1")</f>
        <v>@estoyharto1</v>
      </c>
      <c r="C388" s="8" t="s">
        <v>1404</v>
      </c>
      <c r="D388" s="9" t="s">
        <v>1426</v>
      </c>
      <c r="E388" s="10" t="str">
        <f>HYPERLINK("https://twitter.com/estoyharto1/status/1070998889497530369","1070998889497530369")</f>
        <v>1070998889497530369</v>
      </c>
      <c r="F388" s="11"/>
      <c r="G388" s="11"/>
      <c r="H388" s="11"/>
      <c r="I388" s="14">
        <v>0</v>
      </c>
      <c r="J388" s="14">
        <v>1</v>
      </c>
      <c r="K388" s="15" t="str">
        <f>HYPERLINK("http://twitter.com/download/iphone","Twitter for iPhone")</f>
        <v>Twitter for iPhone</v>
      </c>
      <c r="L388" s="14">
        <v>1464</v>
      </c>
      <c r="M388" s="14">
        <v>711</v>
      </c>
      <c r="N388" s="14">
        <v>5</v>
      </c>
      <c r="O388" s="16"/>
      <c r="P388" s="6">
        <v>41079.495462962965</v>
      </c>
      <c r="Q388" s="11"/>
      <c r="R388" s="17" t="s">
        <v>1408</v>
      </c>
      <c r="S388" s="11"/>
      <c r="T388" s="11"/>
      <c r="U388" s="10" t="str">
        <f>HYPERLINK("https://pbs.twimg.com/profile_images/917013967352016896/yPYBWVQf.jpg","View")</f>
        <v>View</v>
      </c>
    </row>
    <row r="389" spans="1:21" ht="51">
      <c r="A389" s="6">
        <v>43441.506226851852</v>
      </c>
      <c r="B389" s="7" t="str">
        <f>HYPERLINK("https://twitter.com/RamonmsMATA","@RamonmsMATA")</f>
        <v>@RamonmsMATA</v>
      </c>
      <c r="C389" s="8" t="s">
        <v>1432</v>
      </c>
      <c r="D389" s="9" t="s">
        <v>39</v>
      </c>
      <c r="E389" s="10" t="str">
        <f>HYPERLINK("https://twitter.com/RamonmsMATA/status/1070998595988545537","1070998595988545537")</f>
        <v>1070998595988545537</v>
      </c>
      <c r="F389" s="13" t="s">
        <v>1433</v>
      </c>
      <c r="G389" s="11"/>
      <c r="H389" s="11"/>
      <c r="I389" s="14">
        <v>0</v>
      </c>
      <c r="J389" s="14">
        <v>1</v>
      </c>
      <c r="K389" s="15" t="str">
        <f>HYPERLINK("http://twitter.com","Twitter Web Client")</f>
        <v>Twitter Web Client</v>
      </c>
      <c r="L389" s="14">
        <v>89</v>
      </c>
      <c r="M389" s="14">
        <v>82</v>
      </c>
      <c r="N389" s="14">
        <v>2</v>
      </c>
      <c r="O389" s="16"/>
      <c r="P389" s="6">
        <v>40985.818298611113</v>
      </c>
      <c r="Q389" s="11"/>
      <c r="R389" s="18"/>
      <c r="S389" s="11"/>
      <c r="T389" s="11"/>
      <c r="U389" s="10" t="str">
        <f>HYPERLINK("https://pbs.twimg.com/profile_images/916423190846590978/Wkv2fzUF.jpg","View")</f>
        <v>View</v>
      </c>
    </row>
    <row r="390" spans="1:21" ht="51">
      <c r="A390" s="6">
        <v>43441.503402777773</v>
      </c>
      <c r="B390" s="7" t="str">
        <f>HYPERLINK("https://twitter.com/rdopa1961","@rdopa1961")</f>
        <v>@rdopa1961</v>
      </c>
      <c r="C390" s="8" t="s">
        <v>1438</v>
      </c>
      <c r="D390" s="9" t="s">
        <v>39</v>
      </c>
      <c r="E390" s="10" t="str">
        <f>HYPERLINK("https://twitter.com/rdopa1961/status/1070997575321485312","1070997575321485312")</f>
        <v>1070997575321485312</v>
      </c>
      <c r="F390" s="13" t="s">
        <v>1440</v>
      </c>
      <c r="G390" s="11"/>
      <c r="H390" s="11"/>
      <c r="I390" s="14">
        <v>0</v>
      </c>
      <c r="J390" s="14">
        <v>0</v>
      </c>
      <c r="K390" s="15" t="str">
        <f t="shared" ref="K390:K391" si="71">HYPERLINK("http://twitter.com/download/android","Twitter for Android")</f>
        <v>Twitter for Android</v>
      </c>
      <c r="L390" s="14">
        <v>364</v>
      </c>
      <c r="M390" s="14">
        <v>504</v>
      </c>
      <c r="N390" s="14">
        <v>3</v>
      </c>
      <c r="O390" s="16"/>
      <c r="P390" s="6">
        <v>40669.871018518519</v>
      </c>
      <c r="Q390" s="11"/>
      <c r="R390" s="18"/>
      <c r="S390" s="11"/>
      <c r="T390" s="11"/>
      <c r="U390" s="10" t="str">
        <f>HYPERLINK("https://pbs.twimg.com/profile_images/500659398013112320/TOr4RMuY.jpeg","View")</f>
        <v>View</v>
      </c>
    </row>
    <row r="391" spans="1:21" ht="51">
      <c r="A391" s="6">
        <v>43441.500590277778</v>
      </c>
      <c r="B391" s="7" t="str">
        <f>HYPERLINK("https://twitter.com/fsiciliap","@fsiciliap")</f>
        <v>@fsiciliap</v>
      </c>
      <c r="C391" s="8" t="s">
        <v>1444</v>
      </c>
      <c r="D391" s="9" t="s">
        <v>39</v>
      </c>
      <c r="E391" s="10" t="str">
        <f>HYPERLINK("https://twitter.com/fsiciliap/status/1070996554360778752","1070996554360778752")</f>
        <v>1070996554360778752</v>
      </c>
      <c r="F391" s="13" t="s">
        <v>1445</v>
      </c>
      <c r="G391" s="11"/>
      <c r="H391" s="11"/>
      <c r="I391" s="14">
        <v>0</v>
      </c>
      <c r="J391" s="14">
        <v>0</v>
      </c>
      <c r="K391" s="15" t="str">
        <f t="shared" si="71"/>
        <v>Twitter for Android</v>
      </c>
      <c r="L391" s="14">
        <v>470</v>
      </c>
      <c r="M391" s="14">
        <v>821</v>
      </c>
      <c r="N391" s="14">
        <v>22</v>
      </c>
      <c r="O391" s="16"/>
      <c r="P391" s="6">
        <v>40724.555648148147</v>
      </c>
      <c r="Q391" s="12" t="s">
        <v>1447</v>
      </c>
      <c r="R391" s="17" t="s">
        <v>1448</v>
      </c>
      <c r="S391" s="11"/>
      <c r="T391" s="11"/>
      <c r="U391" s="10" t="str">
        <f>HYPERLINK("https://pbs.twimg.com/profile_images/967672081147219969/ZeBdJ-pY.jpg","View")</f>
        <v>View</v>
      </c>
    </row>
    <row r="392" spans="1:21" ht="51">
      <c r="A392" s="6">
        <v>43441.500069444446</v>
      </c>
      <c r="B392" s="7" t="str">
        <f>HYPERLINK("https://twitter.com/MariaAn41442496","@MariaAn41442496")</f>
        <v>@MariaAn41442496</v>
      </c>
      <c r="C392" s="8" t="s">
        <v>1449</v>
      </c>
      <c r="D392" s="9" t="s">
        <v>39</v>
      </c>
      <c r="E392" s="10" t="str">
        <f>HYPERLINK("https://twitter.com/MariaAn41442496/status/1070996365071781888","1070996365071781888")</f>
        <v>1070996365071781888</v>
      </c>
      <c r="F392" s="13" t="s">
        <v>1451</v>
      </c>
      <c r="G392" s="11"/>
      <c r="H392" s="11"/>
      <c r="I392" s="14">
        <v>1</v>
      </c>
      <c r="J392" s="14">
        <v>1</v>
      </c>
      <c r="K392" s="15" t="str">
        <f>HYPERLINK("http://twitter.com/download/iphone","Twitter for iPhone")</f>
        <v>Twitter for iPhone</v>
      </c>
      <c r="L392" s="14">
        <v>288</v>
      </c>
      <c r="M392" s="14">
        <v>374</v>
      </c>
      <c r="N392" s="14">
        <v>0</v>
      </c>
      <c r="O392" s="16"/>
      <c r="P392" s="6">
        <v>43015.430833333332</v>
      </c>
      <c r="Q392" s="12" t="s">
        <v>137</v>
      </c>
      <c r="R392" s="17" t="s">
        <v>1452</v>
      </c>
      <c r="S392" s="11"/>
      <c r="T392" s="11"/>
      <c r="U392" s="10" t="str">
        <f>HYPERLINK("https://pbs.twimg.com/profile_images/984909779876360194/X-NtGw1I.jpg","View")</f>
        <v>View</v>
      </c>
    </row>
    <row r="393" spans="1:21" ht="51">
      <c r="A393" s="6">
        <v>43441.498217592598</v>
      </c>
      <c r="B393" s="7" t="str">
        <f>HYPERLINK("https://twitter.com/JC_C_A","@JC_C_A")</f>
        <v>@JC_C_A</v>
      </c>
      <c r="C393" s="8" t="s">
        <v>1651</v>
      </c>
      <c r="D393" s="9" t="s">
        <v>1787</v>
      </c>
      <c r="E393" s="10" t="str">
        <f>HYPERLINK("https://twitter.com/JC_C_A/status/1070995693563797505","1070995693563797505")</f>
        <v>1070995693563797505</v>
      </c>
      <c r="F393" s="11"/>
      <c r="G393" s="11"/>
      <c r="H393" s="11"/>
      <c r="I393" s="14">
        <v>4</v>
      </c>
      <c r="J393" s="14">
        <v>0</v>
      </c>
      <c r="K393" s="15" t="str">
        <f t="shared" ref="K393:K395" si="72">HYPERLINK("http://twitter.com/download/android","Twitter for Android")</f>
        <v>Twitter for Android</v>
      </c>
      <c r="L393" s="14">
        <v>1535</v>
      </c>
      <c r="M393" s="14">
        <v>1285</v>
      </c>
      <c r="N393" s="14">
        <v>4</v>
      </c>
      <c r="O393" s="16"/>
      <c r="P393" s="6">
        <v>43055.93885416667</v>
      </c>
      <c r="Q393" s="12" t="s">
        <v>1655</v>
      </c>
      <c r="R393" s="17" t="s">
        <v>1656</v>
      </c>
      <c r="S393" s="11"/>
      <c r="T393" s="11"/>
      <c r="U393" s="10" t="str">
        <f>HYPERLINK("https://pbs.twimg.com/profile_images/1029775179520647169/gj_YgLkP.jpg","View")</f>
        <v>View</v>
      </c>
    </row>
    <row r="394" spans="1:21" ht="51">
      <c r="A394" s="6">
        <v>43441.497071759259</v>
      </c>
      <c r="B394" s="7" t="str">
        <f>HYPERLINK("https://twitter.com/Elpa_jarraco","@Elpa_jarraco")</f>
        <v>@Elpa_jarraco</v>
      </c>
      <c r="C394" s="8" t="s">
        <v>1453</v>
      </c>
      <c r="D394" s="9" t="s">
        <v>1454</v>
      </c>
      <c r="E394" s="10" t="str">
        <f>HYPERLINK("https://twitter.com/Elpa_jarraco/status/1070995278927446016","1070995278927446016")</f>
        <v>1070995278927446016</v>
      </c>
      <c r="F394" s="11"/>
      <c r="G394" s="11"/>
      <c r="H394" s="11"/>
      <c r="I394" s="14">
        <v>0</v>
      </c>
      <c r="J394" s="14">
        <v>0</v>
      </c>
      <c r="K394" s="15" t="str">
        <f t="shared" si="72"/>
        <v>Twitter for Android</v>
      </c>
      <c r="L394" s="14">
        <v>59</v>
      </c>
      <c r="M394" s="14">
        <v>191</v>
      </c>
      <c r="N394" s="14">
        <v>0</v>
      </c>
      <c r="O394" s="16"/>
      <c r="P394" s="6">
        <v>42014.029918981483</v>
      </c>
      <c r="Q394" s="11"/>
      <c r="R394" s="17" t="s">
        <v>1457</v>
      </c>
      <c r="S394" s="11"/>
      <c r="T394" s="11"/>
      <c r="U394" s="10" t="str">
        <f>HYPERLINK("https://pbs.twimg.com/profile_images/904345518037446656/0ctskaix.jpg","View")</f>
        <v>View</v>
      </c>
    </row>
    <row r="395" spans="1:21" ht="40.799999999999997">
      <c r="A395" s="6">
        <v>43441.496261574073</v>
      </c>
      <c r="B395" s="7" t="str">
        <f>HYPERLINK("https://twitter.com/pMeteko","@pMeteko")</f>
        <v>@pMeteko</v>
      </c>
      <c r="C395" s="8" t="s">
        <v>1009</v>
      </c>
      <c r="D395" s="9" t="s">
        <v>1797</v>
      </c>
      <c r="E395" s="10" t="str">
        <f>HYPERLINK("https://twitter.com/pMeteko/status/1070994988010532866","1070994988010532866")</f>
        <v>1070994988010532866</v>
      </c>
      <c r="F395" s="11"/>
      <c r="G395" s="13" t="s">
        <v>1799</v>
      </c>
      <c r="H395" s="11"/>
      <c r="I395" s="14">
        <v>1</v>
      </c>
      <c r="J395" s="14">
        <v>2</v>
      </c>
      <c r="K395" s="15" t="str">
        <f t="shared" si="72"/>
        <v>Twitter for Android</v>
      </c>
      <c r="L395" s="14">
        <v>4537</v>
      </c>
      <c r="M395" s="14">
        <v>4224</v>
      </c>
      <c r="N395" s="14">
        <v>70</v>
      </c>
      <c r="O395" s="16"/>
      <c r="P395" s="6">
        <v>40213.785879629628</v>
      </c>
      <c r="Q395" s="12" t="s">
        <v>1012</v>
      </c>
      <c r="R395" s="17" t="s">
        <v>1013</v>
      </c>
      <c r="S395" s="13" t="s">
        <v>1014</v>
      </c>
      <c r="T395" s="11"/>
      <c r="U395" s="10" t="str">
        <f>HYPERLINK("https://pbs.twimg.com/profile_images/706589913534300160/OXp3G1pA.jpg","View")</f>
        <v>View</v>
      </c>
    </row>
    <row r="396" spans="1:21" ht="51">
      <c r="A396" s="6">
        <v>43441.490567129629</v>
      </c>
      <c r="B396" s="7" t="str">
        <f>HYPERLINK("https://twitter.com/eduardomackenz1","@eduardomackenz1")</f>
        <v>@eduardomackenz1</v>
      </c>
      <c r="C396" s="8" t="s">
        <v>1460</v>
      </c>
      <c r="D396" s="9" t="s">
        <v>39</v>
      </c>
      <c r="E396" s="10" t="str">
        <f>HYPERLINK("https://twitter.com/eduardomackenz1/status/1070992921959256064","1070992921959256064")</f>
        <v>1070992921959256064</v>
      </c>
      <c r="F396" s="13" t="s">
        <v>1461</v>
      </c>
      <c r="G396" s="11"/>
      <c r="H396" s="11"/>
      <c r="I396" s="14">
        <v>4</v>
      </c>
      <c r="J396" s="14">
        <v>3</v>
      </c>
      <c r="K396" s="15" t="str">
        <f>HYPERLINK("http://twitter.com","Twitter Web Client")</f>
        <v>Twitter Web Client</v>
      </c>
      <c r="L396" s="14">
        <v>6433</v>
      </c>
      <c r="M396" s="14">
        <v>2376</v>
      </c>
      <c r="N396" s="14">
        <v>58</v>
      </c>
      <c r="O396" s="16"/>
      <c r="P396" s="6">
        <v>41731.409837962965</v>
      </c>
      <c r="Q396" s="12" t="s">
        <v>1462</v>
      </c>
      <c r="R396" s="17" t="s">
        <v>1463</v>
      </c>
      <c r="S396" s="13" t="s">
        <v>1464</v>
      </c>
      <c r="T396" s="11"/>
      <c r="U396" s="10" t="str">
        <f>HYPERLINK("https://pbs.twimg.com/profile_images/880005888811171840/jEvY1j51.jpg","View")</f>
        <v>View</v>
      </c>
    </row>
    <row r="397" spans="1:21" ht="40.799999999999997">
      <c r="A397" s="6">
        <v>43441.486296296294</v>
      </c>
      <c r="B397" s="7" t="str">
        <f>HYPERLINK("https://twitter.com/Fran30fernandez","@Fran30fernandez")</f>
        <v>@Fran30fernandez</v>
      </c>
      <c r="C397" s="8" t="s">
        <v>1465</v>
      </c>
      <c r="D397" s="9" t="s">
        <v>1466</v>
      </c>
      <c r="E397" s="10" t="str">
        <f>HYPERLINK("https://twitter.com/Fran30fernandez/status/1070991373627781120","1070991373627781120")</f>
        <v>1070991373627781120</v>
      </c>
      <c r="F397" s="11"/>
      <c r="G397" s="11"/>
      <c r="H397" s="11"/>
      <c r="I397" s="14">
        <v>4</v>
      </c>
      <c r="J397" s="14">
        <v>9</v>
      </c>
      <c r="K397" s="15" t="str">
        <f>HYPERLINK("http://twitter.com/download/android","Twitter for Android")</f>
        <v>Twitter for Android</v>
      </c>
      <c r="L397" s="14">
        <v>6095</v>
      </c>
      <c r="M397" s="14">
        <v>4173</v>
      </c>
      <c r="N397" s="14">
        <v>38</v>
      </c>
      <c r="O397" s="16"/>
      <c r="P397" s="6">
        <v>41727.811331018514</v>
      </c>
      <c r="Q397" s="12" t="s">
        <v>137</v>
      </c>
      <c r="R397" s="17" t="s">
        <v>1468</v>
      </c>
      <c r="S397" s="11"/>
      <c r="T397" s="11"/>
      <c r="U397" s="10" t="str">
        <f>HYPERLINK("https://pbs.twimg.com/profile_images/858698101015670785/7yCnrEbF.jpg","View")</f>
        <v>View</v>
      </c>
    </row>
    <row r="398" spans="1:21" ht="51">
      <c r="A398" s="6">
        <v>43441.483113425929</v>
      </c>
      <c r="B398" s="7" t="str">
        <f>HYPERLINK("https://twitter.com/r_elorrieta","@r_elorrieta")</f>
        <v>@r_elorrieta</v>
      </c>
      <c r="C398" s="8" t="s">
        <v>1471</v>
      </c>
      <c r="D398" s="9" t="s">
        <v>39</v>
      </c>
      <c r="E398" s="10" t="str">
        <f>HYPERLINK("https://twitter.com/r_elorrieta/status/1070990222454910981","1070990222454910981")</f>
        <v>1070990222454910981</v>
      </c>
      <c r="F398" s="13" t="s">
        <v>1472</v>
      </c>
      <c r="G398" s="11"/>
      <c r="H398" s="11"/>
      <c r="I398" s="14">
        <v>1</v>
      </c>
      <c r="J398" s="14">
        <v>0</v>
      </c>
      <c r="K398" s="15" t="str">
        <f t="shared" ref="K398:K399" si="73">HYPERLINK("http://twitter.com","Twitter Web Client")</f>
        <v>Twitter Web Client</v>
      </c>
      <c r="L398" s="14">
        <v>101</v>
      </c>
      <c r="M398" s="14">
        <v>247</v>
      </c>
      <c r="N398" s="14">
        <v>0</v>
      </c>
      <c r="O398" s="16"/>
      <c r="P398" s="6">
        <v>42722.452326388884</v>
      </c>
      <c r="Q398" s="11"/>
      <c r="R398" s="17" t="s">
        <v>1475</v>
      </c>
      <c r="S398" s="11"/>
      <c r="T398" s="11"/>
      <c r="U398" s="10" t="str">
        <f>HYPERLINK("https://pbs.twimg.com/profile_images/919129654816100352/oYO7LaBw.jpg","View")</f>
        <v>View</v>
      </c>
    </row>
    <row r="399" spans="1:21" ht="51">
      <c r="A399" s="6">
        <v>43441.480972222227</v>
      </c>
      <c r="B399" s="7" t="str">
        <f>HYPERLINK("https://twitter.com/Akrainsurrecto","@Akrainsurrecto")</f>
        <v>@Akrainsurrecto</v>
      </c>
      <c r="C399" s="8" t="s">
        <v>1480</v>
      </c>
      <c r="D399" s="9" t="s">
        <v>1481</v>
      </c>
      <c r="E399" s="10" t="str">
        <f>HYPERLINK("https://twitter.com/Akrainsurrecto/status/1070989443501301762","1070989443501301762")</f>
        <v>1070989443501301762</v>
      </c>
      <c r="F399" s="11"/>
      <c r="G399" s="11"/>
      <c r="H399" s="11"/>
      <c r="I399" s="14">
        <v>0</v>
      </c>
      <c r="J399" s="14">
        <v>0</v>
      </c>
      <c r="K399" s="15" t="str">
        <f t="shared" si="73"/>
        <v>Twitter Web Client</v>
      </c>
      <c r="L399" s="14">
        <v>2644</v>
      </c>
      <c r="M399" s="14">
        <v>2264</v>
      </c>
      <c r="N399" s="14">
        <v>12</v>
      </c>
      <c r="O399" s="16"/>
      <c r="P399" s="6">
        <v>41584.492210648146</v>
      </c>
      <c r="Q399" s="11"/>
      <c r="R399" s="17" t="s">
        <v>1482</v>
      </c>
      <c r="S399" s="11"/>
      <c r="T399" s="11"/>
      <c r="U399" s="10" t="str">
        <f>HYPERLINK("https://pbs.twimg.com/profile_images/378800000702242175/9308473ee8d6e49754ad631151c2ec8b.jpeg","View")</f>
        <v>View</v>
      </c>
    </row>
    <row r="400" spans="1:21" ht="40.799999999999997">
      <c r="A400" s="6">
        <v>43441.476712962962</v>
      </c>
      <c r="B400" s="7" t="str">
        <f>HYPERLINK("https://twitter.com/MISSBLANDINGS","@MISSBLANDINGS")</f>
        <v>@MISSBLANDINGS</v>
      </c>
      <c r="C400" s="8" t="s">
        <v>1483</v>
      </c>
      <c r="D400" s="9" t="s">
        <v>1484</v>
      </c>
      <c r="E400" s="10" t="str">
        <f>HYPERLINK("https://twitter.com/MISSBLANDINGS/status/1070987903965249536","1070987903965249536")</f>
        <v>1070987903965249536</v>
      </c>
      <c r="F400" s="13" t="s">
        <v>1487</v>
      </c>
      <c r="G400" s="11"/>
      <c r="H400" s="11"/>
      <c r="I400" s="14">
        <v>2</v>
      </c>
      <c r="J400" s="14">
        <v>3</v>
      </c>
      <c r="K400" s="15" t="str">
        <f>HYPERLINK("http://twitter.com/download/iphone","Twitter for iPhone")</f>
        <v>Twitter for iPhone</v>
      </c>
      <c r="L400" s="14">
        <v>2470</v>
      </c>
      <c r="M400" s="14">
        <v>3680</v>
      </c>
      <c r="N400" s="14">
        <v>19</v>
      </c>
      <c r="O400" s="16"/>
      <c r="P400" s="6">
        <v>40936.923819444448</v>
      </c>
      <c r="Q400" s="12" t="s">
        <v>1488</v>
      </c>
      <c r="R400" s="17" t="s">
        <v>1489</v>
      </c>
      <c r="S400" s="11"/>
      <c r="T400" s="11"/>
      <c r="U400" s="10" t="str">
        <f>HYPERLINK("https://pbs.twimg.com/profile_images/958861147029102593/2QWqDHY8.jpg","View")</f>
        <v>View</v>
      </c>
    </row>
    <row r="401" spans="1:21" ht="51">
      <c r="A401" s="6">
        <v>43441.47483796296</v>
      </c>
      <c r="B401" s="7" t="str">
        <f>HYPERLINK("https://twitter.com/LuisAlb87688384","@LuisAlb87688384")</f>
        <v>@LuisAlb87688384</v>
      </c>
      <c r="C401" s="8" t="s">
        <v>1491</v>
      </c>
      <c r="D401" s="9" t="s">
        <v>39</v>
      </c>
      <c r="E401" s="10" t="str">
        <f>HYPERLINK("https://twitter.com/LuisAlb87688384/status/1070987224462868480","1070987224462868480")</f>
        <v>1070987224462868480</v>
      </c>
      <c r="F401" s="13" t="s">
        <v>1492</v>
      </c>
      <c r="G401" s="11"/>
      <c r="H401" s="11"/>
      <c r="I401" s="14">
        <v>0</v>
      </c>
      <c r="J401" s="14">
        <v>0</v>
      </c>
      <c r="K401" s="15" t="str">
        <f>HYPERLINK("http://twitter.com/download/android","Twitter for Android")</f>
        <v>Twitter for Android</v>
      </c>
      <c r="L401" s="14">
        <v>55</v>
      </c>
      <c r="M401" s="14">
        <v>67</v>
      </c>
      <c r="N401" s="14">
        <v>0</v>
      </c>
      <c r="O401" s="16"/>
      <c r="P401" s="6">
        <v>42641.939305555556</v>
      </c>
      <c r="Q401" s="11"/>
      <c r="R401" s="17" t="s">
        <v>1494</v>
      </c>
      <c r="S401" s="11"/>
      <c r="T401" s="11"/>
      <c r="U401" s="10" t="str">
        <f>HYPERLINK("https://pbs.twimg.com/profile_images/934800927193780225/pAs7j9sw.jpg","View")</f>
        <v>View</v>
      </c>
    </row>
    <row r="402" spans="1:21" ht="61.2">
      <c r="A402" s="6">
        <v>43441.474791666667</v>
      </c>
      <c r="B402" s="7" t="str">
        <f>HYPERLINK("https://twitter.com/Kandpalleiro","@Kandpalleiro")</f>
        <v>@Kandpalleiro</v>
      </c>
      <c r="C402" s="8" t="s">
        <v>1495</v>
      </c>
      <c r="D402" s="9" t="s">
        <v>1496</v>
      </c>
      <c r="E402" s="10" t="str">
        <f>HYPERLINK("https://twitter.com/Kandpalleiro/status/1070987204560936962","1070987204560936962")</f>
        <v>1070987204560936962</v>
      </c>
      <c r="F402" s="11"/>
      <c r="G402" s="13" t="s">
        <v>1497</v>
      </c>
      <c r="H402" s="11"/>
      <c r="I402" s="14">
        <v>0</v>
      </c>
      <c r="J402" s="14">
        <v>0</v>
      </c>
      <c r="K402" s="15" t="str">
        <f>HYPERLINK("http://twitter.com","Twitter Web Client")</f>
        <v>Twitter Web Client</v>
      </c>
      <c r="L402" s="14">
        <v>265</v>
      </c>
      <c r="M402" s="14">
        <v>260</v>
      </c>
      <c r="N402" s="14">
        <v>20</v>
      </c>
      <c r="O402" s="16"/>
      <c r="P402" s="6">
        <v>39883.962858796294</v>
      </c>
      <c r="Q402" s="12" t="s">
        <v>1498</v>
      </c>
      <c r="R402" s="17" t="s">
        <v>1499</v>
      </c>
      <c r="S402" s="13" t="s">
        <v>1500</v>
      </c>
      <c r="T402" s="11"/>
      <c r="U402" s="10" t="str">
        <f>HYPERLINK("https://pbs.twimg.com/profile_images/919501985400872960/8RX17W9E.jpg","View")</f>
        <v>View</v>
      </c>
    </row>
    <row r="403" spans="1:21" ht="51">
      <c r="A403" s="6">
        <v>43441.474537037036</v>
      </c>
      <c r="B403" s="7" t="str">
        <f>HYPERLINK("https://twitter.com/MISSBLANDINGS","@MISSBLANDINGS")</f>
        <v>@MISSBLANDINGS</v>
      </c>
      <c r="C403" s="8" t="s">
        <v>1483</v>
      </c>
      <c r="D403" s="9" t="s">
        <v>1501</v>
      </c>
      <c r="E403" s="10" t="str">
        <f>HYPERLINK("https://twitter.com/MISSBLANDINGS/status/1070987113884205058","1070987113884205058")</f>
        <v>1070987113884205058</v>
      </c>
      <c r="F403" s="13" t="s">
        <v>1487</v>
      </c>
      <c r="G403" s="11"/>
      <c r="H403" s="11"/>
      <c r="I403" s="14">
        <v>1</v>
      </c>
      <c r="J403" s="14">
        <v>2</v>
      </c>
      <c r="K403" s="15" t="str">
        <f>HYPERLINK("http://twitter.com/download/iphone","Twitter for iPhone")</f>
        <v>Twitter for iPhone</v>
      </c>
      <c r="L403" s="14">
        <v>2470</v>
      </c>
      <c r="M403" s="14">
        <v>3680</v>
      </c>
      <c r="N403" s="14">
        <v>19</v>
      </c>
      <c r="O403" s="16"/>
      <c r="P403" s="6">
        <v>40936.923819444448</v>
      </c>
      <c r="Q403" s="12" t="s">
        <v>1488</v>
      </c>
      <c r="R403" s="17" t="s">
        <v>1489</v>
      </c>
      <c r="S403" s="11"/>
      <c r="T403" s="11"/>
      <c r="U403" s="10" t="str">
        <f>HYPERLINK("https://pbs.twimg.com/profile_images/958861147029102593/2QWqDHY8.jpg","View")</f>
        <v>View</v>
      </c>
    </row>
    <row r="404" spans="1:21" ht="20.399999999999999">
      <c r="A404" s="6">
        <v>43441.47283564815</v>
      </c>
      <c r="B404" s="7" t="str">
        <f>HYPERLINK("https://twitter.com/corujo71","@corujo71")</f>
        <v>@corujo71</v>
      </c>
      <c r="C404" s="8" t="s">
        <v>1828</v>
      </c>
      <c r="D404" s="9" t="s">
        <v>1829</v>
      </c>
      <c r="E404" s="10" t="str">
        <f>HYPERLINK("https://twitter.com/corujo71/status/1070986498550439937","1070986498550439937")</f>
        <v>1070986498550439937</v>
      </c>
      <c r="F404" s="13" t="s">
        <v>1420</v>
      </c>
      <c r="G404" s="11"/>
      <c r="H404" s="11"/>
      <c r="I404" s="14">
        <v>0</v>
      </c>
      <c r="J404" s="14">
        <v>2</v>
      </c>
      <c r="K404" s="15" t="str">
        <f>HYPERLINK("http://www.facebook.com/twitter","Facebook")</f>
        <v>Facebook</v>
      </c>
      <c r="L404" s="14">
        <v>155</v>
      </c>
      <c r="M404" s="14">
        <v>364</v>
      </c>
      <c r="N404" s="14">
        <v>3</v>
      </c>
      <c r="O404" s="16"/>
      <c r="P404" s="6">
        <v>40896.397511574076</v>
      </c>
      <c r="Q404" s="12" t="s">
        <v>1504</v>
      </c>
      <c r="R404" s="17" t="s">
        <v>1833</v>
      </c>
      <c r="S404" s="11"/>
      <c r="T404" s="11"/>
      <c r="U404" s="10" t="str">
        <f>HYPERLINK("https://pbs.twimg.com/profile_images/518828716257202176/-kHOK0o7.jpeg","View")</f>
        <v>View</v>
      </c>
    </row>
    <row r="405" spans="1:21" ht="20.399999999999999">
      <c r="A405" s="6">
        <v>43441.472233796296</v>
      </c>
      <c r="B405" s="7" t="str">
        <f>HYPERLINK("https://twitter.com/CsIcod","@CsIcod")</f>
        <v>@CsIcod</v>
      </c>
      <c r="C405" s="8" t="s">
        <v>1502</v>
      </c>
      <c r="D405" s="9" t="s">
        <v>1503</v>
      </c>
      <c r="E405" s="10" t="str">
        <f>HYPERLINK("https://twitter.com/CsIcod/status/1070986280828321793","1070986280828321793")</f>
        <v>1070986280828321793</v>
      </c>
      <c r="F405" s="13" t="s">
        <v>1420</v>
      </c>
      <c r="G405" s="11"/>
      <c r="H405" s="11"/>
      <c r="I405" s="14">
        <v>2</v>
      </c>
      <c r="J405" s="14">
        <v>2</v>
      </c>
      <c r="K405" s="15" t="str">
        <f>HYPERLINK("http://twitter.com/download/iphone","Twitter for iPhone")</f>
        <v>Twitter for iPhone</v>
      </c>
      <c r="L405" s="14">
        <v>2199</v>
      </c>
      <c r="M405" s="14">
        <v>1168</v>
      </c>
      <c r="N405" s="14">
        <v>23</v>
      </c>
      <c r="O405" s="16"/>
      <c r="P405" s="6">
        <v>41872.724687499998</v>
      </c>
      <c r="Q405" s="12" t="s">
        <v>1504</v>
      </c>
      <c r="R405" s="17" t="s">
        <v>1505</v>
      </c>
      <c r="S405" s="13" t="s">
        <v>1506</v>
      </c>
      <c r="T405" s="11"/>
      <c r="U405" s="10" t="str">
        <f>HYPERLINK("https://pbs.twimg.com/profile_images/899606555481563142/kGblr9kV.jpg","View")</f>
        <v>View</v>
      </c>
    </row>
    <row r="406" spans="1:21" ht="51">
      <c r="A406" s="6">
        <v>43441.472222222219</v>
      </c>
      <c r="B406" s="7" t="str">
        <f>HYPERLINK("https://twitter.com/corpasm","@corpasm")</f>
        <v>@corpasm</v>
      </c>
      <c r="C406" s="8" t="s">
        <v>1507</v>
      </c>
      <c r="D406" s="9" t="s">
        <v>39</v>
      </c>
      <c r="E406" s="10" t="str">
        <f>HYPERLINK("https://twitter.com/corpasm/status/1070986275807731712","1070986275807731712")</f>
        <v>1070986275807731712</v>
      </c>
      <c r="F406" s="13" t="s">
        <v>1508</v>
      </c>
      <c r="G406" s="11"/>
      <c r="H406" s="11"/>
      <c r="I406" s="14">
        <v>1</v>
      </c>
      <c r="J406" s="14">
        <v>1</v>
      </c>
      <c r="K406" s="15" t="str">
        <f>HYPERLINK("http://twitter.com","Twitter Web Client")</f>
        <v>Twitter Web Client</v>
      </c>
      <c r="L406" s="14">
        <v>415</v>
      </c>
      <c r="M406" s="14">
        <v>1151</v>
      </c>
      <c r="N406" s="14">
        <v>9</v>
      </c>
      <c r="O406" s="16"/>
      <c r="P406" s="6">
        <v>40291.420127314814</v>
      </c>
      <c r="Q406" s="12" t="s">
        <v>29</v>
      </c>
      <c r="R406" s="17" t="s">
        <v>1509</v>
      </c>
      <c r="S406" s="13" t="s">
        <v>1510</v>
      </c>
      <c r="T406" s="11"/>
      <c r="U406" s="10" t="str">
        <f>HYPERLINK("https://pbs.twimg.com/profile_images/378800000849974025/56c86e04746b46a36f80f6e3d6fa1f63.jpeg","View")</f>
        <v>View</v>
      </c>
    </row>
    <row r="407" spans="1:21" ht="40.799999999999997">
      <c r="A407" s="6">
        <v>43441.47011574074</v>
      </c>
      <c r="B407" s="7" t="str">
        <f>HYPERLINK("https://twitter.com/RevoluSSSion","@RevoluSSSion")</f>
        <v>@RevoluSSSion</v>
      </c>
      <c r="C407" s="8" t="s">
        <v>1513</v>
      </c>
      <c r="D407" s="9" t="s">
        <v>1514</v>
      </c>
      <c r="E407" s="10" t="str">
        <f>HYPERLINK("https://twitter.com/RevoluSSSion/status/1070985510083026944","1070985510083026944")</f>
        <v>1070985510083026944</v>
      </c>
      <c r="F407" s="11"/>
      <c r="G407" s="11"/>
      <c r="H407" s="11"/>
      <c r="I407" s="14">
        <v>0</v>
      </c>
      <c r="J407" s="14">
        <v>1</v>
      </c>
      <c r="K407" s="15" t="str">
        <f>HYPERLINK("https://mobile.twitter.com","Twitter Lite")</f>
        <v>Twitter Lite</v>
      </c>
      <c r="L407" s="14">
        <v>695</v>
      </c>
      <c r="M407" s="14">
        <v>169</v>
      </c>
      <c r="N407" s="14">
        <v>10</v>
      </c>
      <c r="O407" s="16"/>
      <c r="P407" s="6">
        <v>41716.75854166667</v>
      </c>
      <c r="Q407" s="12" t="s">
        <v>1517</v>
      </c>
      <c r="R407" s="17" t="s">
        <v>1518</v>
      </c>
      <c r="S407" s="11"/>
      <c r="T407" s="11"/>
      <c r="U407" s="10" t="str">
        <f>HYPERLINK("https://pbs.twimg.com/profile_images/909049319185108992/D9aFi7y-.jpg","View")</f>
        <v>View</v>
      </c>
    </row>
    <row r="408" spans="1:21" ht="51">
      <c r="A408" s="6">
        <v>43441.46670138889</v>
      </c>
      <c r="B408" s="7" t="str">
        <f>HYPERLINK("https://twitter.com/Alito_depollo","@Alito_depollo")</f>
        <v>@Alito_depollo</v>
      </c>
      <c r="C408" s="8" t="s">
        <v>1521</v>
      </c>
      <c r="D408" s="9" t="s">
        <v>1522</v>
      </c>
      <c r="E408" s="10" t="str">
        <f>HYPERLINK("https://twitter.com/Alito_depollo/status/1070984272134197249","1070984272134197249")</f>
        <v>1070984272134197249</v>
      </c>
      <c r="F408" s="11"/>
      <c r="G408" s="11"/>
      <c r="H408" s="11"/>
      <c r="I408" s="14">
        <v>0</v>
      </c>
      <c r="J408" s="14">
        <v>0</v>
      </c>
      <c r="K408" s="15" t="str">
        <f t="shared" ref="K408:K410" si="74">HYPERLINK("http://twitter.com/download/android","Twitter for Android")</f>
        <v>Twitter for Android</v>
      </c>
      <c r="L408" s="14">
        <v>904</v>
      </c>
      <c r="M408" s="14">
        <v>1021</v>
      </c>
      <c r="N408" s="14">
        <v>21</v>
      </c>
      <c r="O408" s="16"/>
      <c r="P408" s="6">
        <v>40008.74324074074</v>
      </c>
      <c r="Q408" s="12" t="s">
        <v>1524</v>
      </c>
      <c r="R408" s="17" t="s">
        <v>1525</v>
      </c>
      <c r="S408" s="11"/>
      <c r="T408" s="11"/>
      <c r="U408" s="10" t="str">
        <f>HYPERLINK("https://pbs.twimg.com/profile_images/1012088870631075840/avCrmrOE.jpg","View")</f>
        <v>View</v>
      </c>
    </row>
    <row r="409" spans="1:21" ht="51">
      <c r="A409" s="6">
        <v>43441.464513888888</v>
      </c>
      <c r="B409" s="7" t="str">
        <f>HYPERLINK("https://twitter.com/ana_urcelay","@ana_urcelay")</f>
        <v>@ana_urcelay</v>
      </c>
      <c r="C409" s="8" t="s">
        <v>1527</v>
      </c>
      <c r="D409" s="9" t="s">
        <v>1528</v>
      </c>
      <c r="E409" s="10" t="str">
        <f>HYPERLINK("https://twitter.com/ana_urcelay/status/1070983482162188289","1070983482162188289")</f>
        <v>1070983482162188289</v>
      </c>
      <c r="F409" s="13" t="s">
        <v>1531</v>
      </c>
      <c r="G409" s="11"/>
      <c r="H409" s="11"/>
      <c r="I409" s="14">
        <v>4</v>
      </c>
      <c r="J409" s="14">
        <v>9</v>
      </c>
      <c r="K409" s="15" t="str">
        <f t="shared" si="74"/>
        <v>Twitter for Android</v>
      </c>
      <c r="L409" s="14">
        <v>9145</v>
      </c>
      <c r="M409" s="14">
        <v>10045</v>
      </c>
      <c r="N409" s="14">
        <v>36</v>
      </c>
      <c r="O409" s="16"/>
      <c r="P409" s="6">
        <v>40991.38863425926</v>
      </c>
      <c r="Q409" s="12" t="s">
        <v>1532</v>
      </c>
      <c r="R409" s="17" t="s">
        <v>1533</v>
      </c>
      <c r="S409" s="13" t="s">
        <v>1534</v>
      </c>
      <c r="T409" s="11"/>
      <c r="U409" s="10" t="str">
        <f>HYPERLINK("https://pbs.twimg.com/profile_images/577495643943366657/8YXo9v0b.jpeg","View")</f>
        <v>View</v>
      </c>
    </row>
    <row r="410" spans="1:21" ht="91.8">
      <c r="A410" s="6">
        <v>43441.463807870372</v>
      </c>
      <c r="B410" s="7" t="str">
        <f>HYPERLINK("https://twitter.com/CsCastelldefels","@CsCastelldefels")</f>
        <v>@CsCastelldefels</v>
      </c>
      <c r="C410" s="8" t="s">
        <v>1851</v>
      </c>
      <c r="D410" s="9" t="s">
        <v>1852</v>
      </c>
      <c r="E410" s="10" t="str">
        <f>HYPERLINK("https://twitter.com/CsCastelldefels/status/1070983227068858368","1070983227068858368")</f>
        <v>1070983227068858368</v>
      </c>
      <c r="F410" s="13" t="s">
        <v>1853</v>
      </c>
      <c r="G410" s="13" t="s">
        <v>1835</v>
      </c>
      <c r="H410" s="11"/>
      <c r="I410" s="14">
        <v>2</v>
      </c>
      <c r="J410" s="14">
        <v>4</v>
      </c>
      <c r="K410" s="15" t="str">
        <f t="shared" si="74"/>
        <v>Twitter for Android</v>
      </c>
      <c r="L410" s="14">
        <v>3155</v>
      </c>
      <c r="M410" s="14">
        <v>967</v>
      </c>
      <c r="N410" s="14">
        <v>49</v>
      </c>
      <c r="O410" s="16"/>
      <c r="P410" s="6">
        <v>41135.448576388888</v>
      </c>
      <c r="Q410" s="12" t="s">
        <v>1856</v>
      </c>
      <c r="R410" s="17" t="s">
        <v>1857</v>
      </c>
      <c r="S410" s="13" t="s">
        <v>1858</v>
      </c>
      <c r="T410" s="11"/>
      <c r="U410" s="10" t="str">
        <f>HYPERLINK("https://pbs.twimg.com/profile_images/906488668931719168/quTH-14F.jpg","View")</f>
        <v>View</v>
      </c>
    </row>
    <row r="411" spans="1:21" ht="30.6">
      <c r="A411" s="6">
        <v>43441.463043981479</v>
      </c>
      <c r="B411" s="7" t="str">
        <f>HYPERLINK("https://twitter.com/socBatman","@socBatman")</f>
        <v>@socBatman</v>
      </c>
      <c r="C411" s="8" t="s">
        <v>1862</v>
      </c>
      <c r="D411" s="9" t="s">
        <v>1863</v>
      </c>
      <c r="E411" s="10" t="str">
        <f>HYPERLINK("https://twitter.com/socBatman/status/1070982948743245824","1070982948743245824")</f>
        <v>1070982948743245824</v>
      </c>
      <c r="F411" s="13" t="s">
        <v>1866</v>
      </c>
      <c r="G411" s="11"/>
      <c r="H411" s="11"/>
      <c r="I411" s="14">
        <v>0</v>
      </c>
      <c r="J411" s="14">
        <v>0</v>
      </c>
      <c r="K411" s="15" t="str">
        <f t="shared" ref="K411:K412" si="75">HYPERLINK("http://twitter.com","Twitter Web Client")</f>
        <v>Twitter Web Client</v>
      </c>
      <c r="L411" s="14">
        <v>443</v>
      </c>
      <c r="M411" s="14">
        <v>1317</v>
      </c>
      <c r="N411" s="14">
        <v>1</v>
      </c>
      <c r="O411" s="16"/>
      <c r="P411" s="6">
        <v>43013.288819444446</v>
      </c>
      <c r="Q411" s="12" t="s">
        <v>1870</v>
      </c>
      <c r="R411" s="17" t="s">
        <v>1871</v>
      </c>
      <c r="S411" s="11"/>
      <c r="T411" s="11"/>
      <c r="U411" s="10" t="str">
        <f>HYPERLINK("https://pbs.twimg.com/profile_images/936165524131713024/lQFFt3ue.jpg","View")</f>
        <v>View</v>
      </c>
    </row>
    <row r="412" spans="1:21" ht="40.799999999999997">
      <c r="A412" s="6">
        <v>43441.461608796293</v>
      </c>
      <c r="B412" s="7" t="str">
        <f>HYPERLINK("https://twitter.com/migupelo2","@migupelo2")</f>
        <v>@migupelo2</v>
      </c>
      <c r="C412" s="8" t="s">
        <v>907</v>
      </c>
      <c r="D412" s="9" t="s">
        <v>1537</v>
      </c>
      <c r="E412" s="10" t="str">
        <f>HYPERLINK("https://twitter.com/migupelo2/status/1070982430432088065","1070982430432088065")</f>
        <v>1070982430432088065</v>
      </c>
      <c r="F412" s="13" t="s">
        <v>1539</v>
      </c>
      <c r="G412" s="11"/>
      <c r="H412" s="11"/>
      <c r="I412" s="14">
        <v>0</v>
      </c>
      <c r="J412" s="14">
        <v>0</v>
      </c>
      <c r="K412" s="15" t="str">
        <f t="shared" si="75"/>
        <v>Twitter Web Client</v>
      </c>
      <c r="L412" s="14">
        <v>266</v>
      </c>
      <c r="M412" s="14">
        <v>771</v>
      </c>
      <c r="N412" s="14">
        <v>18</v>
      </c>
      <c r="O412" s="16"/>
      <c r="P412" s="6">
        <v>40477.868043981478</v>
      </c>
      <c r="Q412" s="11"/>
      <c r="R412" s="17" t="s">
        <v>914</v>
      </c>
      <c r="S412" s="11"/>
      <c r="T412" s="11"/>
      <c r="U412" s="10" t="str">
        <f>HYPERLINK("https://pbs.twimg.com/profile_images/2906316440/4ed1570f50fd6f70f1b28d458997dd81.jpeg","View")</f>
        <v>View</v>
      </c>
    </row>
    <row r="413" spans="1:21" ht="51">
      <c r="A413" s="6">
        <v>43441.456354166672</v>
      </c>
      <c r="B413" s="7" t="str">
        <f>HYPERLINK("https://twitter.com/JoseMan80039684","@JoseMan80039684")</f>
        <v>@JoseMan80039684</v>
      </c>
      <c r="C413" s="8" t="s">
        <v>71</v>
      </c>
      <c r="D413" s="9" t="s">
        <v>1875</v>
      </c>
      <c r="E413" s="10" t="str">
        <f>HYPERLINK("https://twitter.com/JoseMan80039684/status/1070980522573250561","1070980522573250561")</f>
        <v>1070980522573250561</v>
      </c>
      <c r="F413" s="11"/>
      <c r="G413" s="11"/>
      <c r="H413" s="11"/>
      <c r="I413" s="14">
        <v>0</v>
      </c>
      <c r="J413" s="14">
        <v>0</v>
      </c>
      <c r="K413" s="15" t="str">
        <f t="shared" ref="K413:K415" si="76">HYPERLINK("http://twitter.com/download/android","Twitter for Android")</f>
        <v>Twitter for Android</v>
      </c>
      <c r="L413" s="14">
        <v>214</v>
      </c>
      <c r="M413" s="14">
        <v>455</v>
      </c>
      <c r="N413" s="14">
        <v>2</v>
      </c>
      <c r="O413" s="16"/>
      <c r="P413" s="6">
        <v>41055.613368055558</v>
      </c>
      <c r="Q413" s="11"/>
      <c r="R413" s="18"/>
      <c r="S413" s="11"/>
      <c r="T413" s="11"/>
      <c r="U413" s="10" t="str">
        <f>HYPERLINK("https://pbs.twimg.com/profile_images/495846739950063617/mLhmB2nG.jpeg","View")</f>
        <v>View</v>
      </c>
    </row>
    <row r="414" spans="1:21" ht="51">
      <c r="A414" s="6">
        <v>43441.452789351853</v>
      </c>
      <c r="B414" s="7" t="str">
        <f>HYPERLINK("https://twitter.com/gerard_snchez","@gerard_snchez")</f>
        <v>@gerard_snchez</v>
      </c>
      <c r="C414" s="8" t="s">
        <v>1548</v>
      </c>
      <c r="D414" s="9" t="s">
        <v>1549</v>
      </c>
      <c r="E414" s="10" t="str">
        <f>HYPERLINK("https://twitter.com/gerard_snchez/status/1070979233529384960","1070979233529384960")</f>
        <v>1070979233529384960</v>
      </c>
      <c r="F414" s="11"/>
      <c r="G414" s="13" t="s">
        <v>1552</v>
      </c>
      <c r="H414" s="11"/>
      <c r="I414" s="14">
        <v>40</v>
      </c>
      <c r="J414" s="14">
        <v>58</v>
      </c>
      <c r="K414" s="15" t="str">
        <f t="shared" si="76"/>
        <v>Twitter for Android</v>
      </c>
      <c r="L414" s="14">
        <v>3233</v>
      </c>
      <c r="M414" s="14">
        <v>1829</v>
      </c>
      <c r="N414" s="14">
        <v>24</v>
      </c>
      <c r="O414" s="16"/>
      <c r="P414" s="6">
        <v>41435.496747685189</v>
      </c>
      <c r="Q414" s="12" t="s">
        <v>1553</v>
      </c>
      <c r="R414" s="17" t="s">
        <v>1554</v>
      </c>
      <c r="S414" s="11"/>
      <c r="T414" s="11"/>
      <c r="U414" s="10" t="str">
        <f>HYPERLINK("https://pbs.twimg.com/profile_images/1057021754919579651/it7SEZ2f.jpg","View")</f>
        <v>View</v>
      </c>
    </row>
    <row r="415" spans="1:21" ht="40.799999999999997">
      <c r="A415" s="6">
        <v>43441.451701388884</v>
      </c>
      <c r="B415" s="7" t="str">
        <f>HYPERLINK("https://twitter.com/Charli_In","@Charli_In")</f>
        <v>@Charli_In</v>
      </c>
      <c r="C415" s="8" t="s">
        <v>1557</v>
      </c>
      <c r="D415" s="9" t="s">
        <v>1559</v>
      </c>
      <c r="E415" s="10" t="str">
        <f>HYPERLINK("https://twitter.com/Charli_In/status/1070978836681121792","1070978836681121792")</f>
        <v>1070978836681121792</v>
      </c>
      <c r="F415" s="11"/>
      <c r="G415" s="11"/>
      <c r="H415" s="11"/>
      <c r="I415" s="14">
        <v>1</v>
      </c>
      <c r="J415" s="14">
        <v>0</v>
      </c>
      <c r="K415" s="15" t="str">
        <f t="shared" si="76"/>
        <v>Twitter for Android</v>
      </c>
      <c r="L415" s="14">
        <v>111</v>
      </c>
      <c r="M415" s="14">
        <v>246</v>
      </c>
      <c r="N415" s="14">
        <v>2</v>
      </c>
      <c r="O415" s="16"/>
      <c r="P415" s="6">
        <v>42130.037083333329</v>
      </c>
      <c r="Q415" s="11"/>
      <c r="R415" s="17" t="s">
        <v>1561</v>
      </c>
      <c r="S415" s="11"/>
      <c r="T415" s="11"/>
      <c r="U415" s="10" t="str">
        <f>HYPERLINK("https://pbs.twimg.com/profile_images/729780116763627520/fW0A3-t-.jpg","View")</f>
        <v>View</v>
      </c>
    </row>
    <row r="416" spans="1:21" ht="40.799999999999997">
      <c r="A416" s="6">
        <v>43441.45103009259</v>
      </c>
      <c r="B416" s="7" t="str">
        <f>HYPERLINK("https://twitter.com/Ismaelescuincs","@Ismaelescuincs")</f>
        <v>@Ismaelescuincs</v>
      </c>
      <c r="C416" s="8" t="s">
        <v>937</v>
      </c>
      <c r="D416" s="9" t="s">
        <v>1884</v>
      </c>
      <c r="E416" s="10" t="str">
        <f>HYPERLINK("https://twitter.com/Ismaelescuincs/status/1070978595093442560","1070978595093442560")</f>
        <v>1070978595093442560</v>
      </c>
      <c r="F416" s="13" t="s">
        <v>1886</v>
      </c>
      <c r="G416" s="11"/>
      <c r="H416" s="11"/>
      <c r="I416" s="14">
        <v>11</v>
      </c>
      <c r="J416" s="14">
        <v>14</v>
      </c>
      <c r="K416" s="15" t="str">
        <f>HYPERLINK("http://twitter.com/download/iphone","Twitter for iPhone")</f>
        <v>Twitter for iPhone</v>
      </c>
      <c r="L416" s="14">
        <v>1138</v>
      </c>
      <c r="M416" s="14">
        <v>1215</v>
      </c>
      <c r="N416" s="14">
        <v>1</v>
      </c>
      <c r="O416" s="16"/>
      <c r="P416" s="6">
        <v>43085.040821759263</v>
      </c>
      <c r="Q416" s="12" t="s">
        <v>946</v>
      </c>
      <c r="R416" s="17" t="s">
        <v>948</v>
      </c>
      <c r="S416" s="13" t="s">
        <v>950</v>
      </c>
      <c r="T416" s="11"/>
      <c r="U416" s="10" t="str">
        <f>HYPERLINK("https://pbs.twimg.com/profile_images/1041730517530492928/JLvy_OFv.jpg","View")</f>
        <v>View</v>
      </c>
    </row>
    <row r="417" spans="1:21" ht="40.799999999999997">
      <c r="A417" s="6">
        <v>43441.45076388889</v>
      </c>
      <c r="B417" s="7" t="str">
        <f>HYPERLINK("https://twitter.com/EL_JB_","@EL_JB_")</f>
        <v>@EL_JB_</v>
      </c>
      <c r="C417" s="8" t="s">
        <v>1887</v>
      </c>
      <c r="D417" s="9" t="s">
        <v>1888</v>
      </c>
      <c r="E417" s="10" t="str">
        <f>HYPERLINK("https://twitter.com/EL_JB_/status/1070978498481844224","1070978498481844224")</f>
        <v>1070978498481844224</v>
      </c>
      <c r="F417" s="13" t="s">
        <v>1891</v>
      </c>
      <c r="G417" s="11"/>
      <c r="H417" s="11"/>
      <c r="I417" s="14">
        <v>0</v>
      </c>
      <c r="J417" s="14">
        <v>1</v>
      </c>
      <c r="K417" s="15" t="str">
        <f>HYPERLINK("http://www.facebook.com/twitter","Facebook")</f>
        <v>Facebook</v>
      </c>
      <c r="L417" s="14">
        <v>720</v>
      </c>
      <c r="M417" s="14">
        <v>286</v>
      </c>
      <c r="N417" s="14">
        <v>5</v>
      </c>
      <c r="O417" s="16"/>
      <c r="P417" s="6">
        <v>40457.492233796293</v>
      </c>
      <c r="Q417" s="12" t="s">
        <v>1893</v>
      </c>
      <c r="R417" s="17" t="s">
        <v>1894</v>
      </c>
      <c r="S417" s="11"/>
      <c r="T417" s="11"/>
      <c r="U417" s="10" t="str">
        <f>HYPERLINK("https://pbs.twimg.com/profile_images/1050145717375959040/uyN6uWvo.jpg","View")</f>
        <v>View</v>
      </c>
    </row>
    <row r="418" spans="1:21" ht="13.2">
      <c r="A418" s="6">
        <v>43441.44840277778</v>
      </c>
      <c r="B418" s="7" t="str">
        <f>HYPERLINK("https://twitter.com/mibela67","@mibela67")</f>
        <v>@mibela67</v>
      </c>
      <c r="C418" s="8" t="s">
        <v>1895</v>
      </c>
      <c r="D418" s="9" t="s">
        <v>1896</v>
      </c>
      <c r="E418" s="10" t="str">
        <f>HYPERLINK("https://twitter.com/mibela67/status/1070977644328640513","1070977644328640513")</f>
        <v>1070977644328640513</v>
      </c>
      <c r="F418" s="13" t="s">
        <v>1899</v>
      </c>
      <c r="G418" s="11"/>
      <c r="H418" s="11"/>
      <c r="I418" s="14">
        <v>0</v>
      </c>
      <c r="J418" s="14">
        <v>0</v>
      </c>
      <c r="K418" s="15" t="str">
        <f t="shared" ref="K418:K420" si="77">HYPERLINK("http://twitter.com","Twitter Web Client")</f>
        <v>Twitter Web Client</v>
      </c>
      <c r="L418" s="14">
        <v>1</v>
      </c>
      <c r="M418" s="14">
        <v>4</v>
      </c>
      <c r="N418" s="14">
        <v>0</v>
      </c>
      <c r="O418" s="16"/>
      <c r="P418" s="6">
        <v>40566.732662037037</v>
      </c>
      <c r="Q418" s="12" t="s">
        <v>1900</v>
      </c>
      <c r="R418" s="17" t="s">
        <v>1901</v>
      </c>
      <c r="S418" s="11"/>
      <c r="T418" s="11"/>
      <c r="U418" s="10" t="str">
        <f>HYPERLINK("https://pbs.twimg.com/profile_images/1070976291745214464/pzPj9nGU.jpg","View")</f>
        <v>View</v>
      </c>
    </row>
    <row r="419" spans="1:21" ht="40.799999999999997">
      <c r="A419" s="6">
        <v>43441.44666666667</v>
      </c>
      <c r="B419" s="7" t="str">
        <f>HYPERLINK("https://twitter.com/migupelo2","@migupelo2")</f>
        <v>@migupelo2</v>
      </c>
      <c r="C419" s="8" t="s">
        <v>907</v>
      </c>
      <c r="D419" s="9" t="s">
        <v>1562</v>
      </c>
      <c r="E419" s="10" t="str">
        <f>HYPERLINK("https://twitter.com/migupelo2/status/1070977011672379392","1070977011672379392")</f>
        <v>1070977011672379392</v>
      </c>
      <c r="F419" s="13" t="s">
        <v>1563</v>
      </c>
      <c r="G419" s="11"/>
      <c r="H419" s="11"/>
      <c r="I419" s="14">
        <v>0</v>
      </c>
      <c r="J419" s="14">
        <v>0</v>
      </c>
      <c r="K419" s="15" t="str">
        <f t="shared" si="77"/>
        <v>Twitter Web Client</v>
      </c>
      <c r="L419" s="14">
        <v>266</v>
      </c>
      <c r="M419" s="14">
        <v>771</v>
      </c>
      <c r="N419" s="14">
        <v>18</v>
      </c>
      <c r="O419" s="16"/>
      <c r="P419" s="6">
        <v>40477.868043981478</v>
      </c>
      <c r="Q419" s="11"/>
      <c r="R419" s="17" t="s">
        <v>914</v>
      </c>
      <c r="S419" s="11"/>
      <c r="T419" s="11"/>
      <c r="U419" s="10" t="str">
        <f>HYPERLINK("https://pbs.twimg.com/profile_images/2906316440/4ed1570f50fd6f70f1b28d458997dd81.jpeg","View")</f>
        <v>View</v>
      </c>
    </row>
    <row r="420" spans="1:21" ht="30.6">
      <c r="A420" s="6">
        <v>43441.444027777776</v>
      </c>
      <c r="B420" s="7" t="str">
        <f>HYPERLINK("https://twitter.com/lizaldez","@lizaldez")</f>
        <v>@lizaldez</v>
      </c>
      <c r="C420" s="8" t="s">
        <v>1906</v>
      </c>
      <c r="D420" s="9" t="s">
        <v>1907</v>
      </c>
      <c r="E420" s="10" t="str">
        <f>HYPERLINK("https://twitter.com/lizaldez/status/1070976058088976384","1070976058088976384")</f>
        <v>1070976058088976384</v>
      </c>
      <c r="F420" s="13" t="s">
        <v>228</v>
      </c>
      <c r="G420" s="11"/>
      <c r="H420" s="11"/>
      <c r="I420" s="14">
        <v>0</v>
      </c>
      <c r="J420" s="14">
        <v>0</v>
      </c>
      <c r="K420" s="15" t="str">
        <f t="shared" si="77"/>
        <v>Twitter Web Client</v>
      </c>
      <c r="L420" s="14">
        <v>780</v>
      </c>
      <c r="M420" s="14">
        <v>441</v>
      </c>
      <c r="N420" s="14">
        <v>27</v>
      </c>
      <c r="O420" s="16"/>
      <c r="P420" s="6">
        <v>41253.870856481481</v>
      </c>
      <c r="Q420" s="12" t="s">
        <v>1908</v>
      </c>
      <c r="R420" s="17" t="s">
        <v>1909</v>
      </c>
      <c r="S420" s="11"/>
      <c r="T420" s="11"/>
      <c r="U420" s="10" t="str">
        <f>HYPERLINK("https://pbs.twimg.com/profile_images/1050118475249782784/OdBB7SDO.jpg","View")</f>
        <v>View</v>
      </c>
    </row>
    <row r="421" spans="1:21" ht="40.799999999999997">
      <c r="A421" s="6">
        <v>43441.443819444445</v>
      </c>
      <c r="B421" s="7" t="str">
        <f>HYPERLINK("https://twitter.com/tuitermann","@tuitermann")</f>
        <v>@tuitermann</v>
      </c>
      <c r="C421" s="8" t="s">
        <v>1914</v>
      </c>
      <c r="D421" s="9" t="s">
        <v>1915</v>
      </c>
      <c r="E421" s="10" t="str">
        <f>HYPERLINK("https://twitter.com/tuitermann/status/1070975981056253952","1070975981056253952")</f>
        <v>1070975981056253952</v>
      </c>
      <c r="F421" s="13" t="s">
        <v>1919</v>
      </c>
      <c r="G421" s="13" t="s">
        <v>1920</v>
      </c>
      <c r="H421" s="11"/>
      <c r="I421" s="14">
        <v>0</v>
      </c>
      <c r="J421" s="14">
        <v>0</v>
      </c>
      <c r="K421" s="15" t="str">
        <f>HYPERLINK("https://dlvrit.com/","dlvr.it")</f>
        <v>dlvr.it</v>
      </c>
      <c r="L421" s="14">
        <v>1620</v>
      </c>
      <c r="M421" s="14">
        <v>789</v>
      </c>
      <c r="N421" s="14">
        <v>45</v>
      </c>
      <c r="O421" s="16"/>
      <c r="P421" s="6">
        <v>41372.995879629627</v>
      </c>
      <c r="Q421" s="11"/>
      <c r="R421" s="17" t="s">
        <v>1921</v>
      </c>
      <c r="S421" s="13" t="s">
        <v>1922</v>
      </c>
      <c r="T421" s="11"/>
      <c r="U421" s="10" t="str">
        <f>HYPERLINK("https://pbs.twimg.com/profile_images/842897019991658499/9nAQnAlC.jpg","View")</f>
        <v>View</v>
      </c>
    </row>
    <row r="422" spans="1:21" ht="30.6">
      <c r="A422" s="6">
        <v>43441.435462962967</v>
      </c>
      <c r="B422" s="7" t="str">
        <f>HYPERLINK("https://twitter.com/JavierSanchis1","@JavierSanchis1")</f>
        <v>@JavierSanchis1</v>
      </c>
      <c r="C422" s="8" t="s">
        <v>1924</v>
      </c>
      <c r="D422" s="9" t="s">
        <v>1925</v>
      </c>
      <c r="E422" s="10" t="str">
        <f>HYPERLINK("https://twitter.com/JavierSanchis1/status/1070972952106160128","1070972952106160128")</f>
        <v>1070972952106160128</v>
      </c>
      <c r="F422" s="13" t="s">
        <v>1927</v>
      </c>
      <c r="G422" s="11"/>
      <c r="H422" s="11"/>
      <c r="I422" s="14">
        <v>0</v>
      </c>
      <c r="J422" s="14">
        <v>0</v>
      </c>
      <c r="K422" s="15" t="str">
        <f>HYPERLINK("https://www.google.com/","Google")</f>
        <v>Google</v>
      </c>
      <c r="L422" s="14">
        <v>278</v>
      </c>
      <c r="M422" s="14">
        <v>388</v>
      </c>
      <c r="N422" s="14">
        <v>21</v>
      </c>
      <c r="O422" s="16"/>
      <c r="P422" s="6">
        <v>40750.434328703705</v>
      </c>
      <c r="Q422" s="12" t="s">
        <v>1928</v>
      </c>
      <c r="R422" s="17" t="s">
        <v>1929</v>
      </c>
      <c r="S422" s="11"/>
      <c r="T422" s="11"/>
      <c r="U422" s="10" t="str">
        <f>HYPERLINK("https://pbs.twimg.com/profile_images/3607384967/4fffb2ea73faed3414c3b40aa5e9e6fe.jpeg","View")</f>
        <v>View</v>
      </c>
    </row>
    <row r="423" spans="1:21" ht="61.2">
      <c r="A423" s="6">
        <v>43441.433912037042</v>
      </c>
      <c r="B423" s="7" t="str">
        <f>HYPERLINK("https://twitter.com/Anaregblanco","@Anaregblanco")</f>
        <v>@Anaregblanco</v>
      </c>
      <c r="C423" s="8" t="s">
        <v>1571</v>
      </c>
      <c r="D423" s="9" t="s">
        <v>1572</v>
      </c>
      <c r="E423" s="10" t="str">
        <f>HYPERLINK("https://twitter.com/Anaregblanco/status/1070972393282265089","1070972393282265089")</f>
        <v>1070972393282265089</v>
      </c>
      <c r="F423" s="11"/>
      <c r="G423" s="11"/>
      <c r="H423" s="11"/>
      <c r="I423" s="14">
        <v>1</v>
      </c>
      <c r="J423" s="14">
        <v>9</v>
      </c>
      <c r="K423" s="15" t="str">
        <f>HYPERLINK("http://twitter.com/download/iphone","Twitter for iPhone")</f>
        <v>Twitter for iPhone</v>
      </c>
      <c r="L423" s="14">
        <v>1235</v>
      </c>
      <c r="M423" s="14">
        <v>1105</v>
      </c>
      <c r="N423" s="14">
        <v>22</v>
      </c>
      <c r="O423" s="16"/>
      <c r="P423" s="6">
        <v>40410.474490740744</v>
      </c>
      <c r="Q423" s="11"/>
      <c r="R423" s="17" t="s">
        <v>1573</v>
      </c>
      <c r="S423" s="11"/>
      <c r="T423" s="11"/>
      <c r="U423" s="10" t="str">
        <f>HYPERLINK("https://pbs.twimg.com/profile_images/1065526591780999168/vuK9rZ94.jpg","View")</f>
        <v>View</v>
      </c>
    </row>
    <row r="424" spans="1:21" ht="40.799999999999997">
      <c r="A424" s="6">
        <v>43441.433912037042</v>
      </c>
      <c r="B424" s="7" t="str">
        <f>HYPERLINK("https://twitter.com/migupelo2","@migupelo2")</f>
        <v>@migupelo2</v>
      </c>
      <c r="C424" s="8" t="s">
        <v>907</v>
      </c>
      <c r="D424" s="9" t="s">
        <v>1574</v>
      </c>
      <c r="E424" s="10" t="str">
        <f>HYPERLINK("https://twitter.com/migupelo2/status/1070972393013895168","1070972393013895168")</f>
        <v>1070972393013895168</v>
      </c>
      <c r="F424" s="13" t="s">
        <v>1577</v>
      </c>
      <c r="G424" s="11"/>
      <c r="H424" s="11"/>
      <c r="I424" s="14">
        <v>0</v>
      </c>
      <c r="J424" s="14">
        <v>0</v>
      </c>
      <c r="K424" s="15" t="str">
        <f t="shared" ref="K424:K425" si="78">HYPERLINK("http://twitter.com","Twitter Web Client")</f>
        <v>Twitter Web Client</v>
      </c>
      <c r="L424" s="14">
        <v>266</v>
      </c>
      <c r="M424" s="14">
        <v>771</v>
      </c>
      <c r="N424" s="14">
        <v>18</v>
      </c>
      <c r="O424" s="16"/>
      <c r="P424" s="6">
        <v>40477.868043981478</v>
      </c>
      <c r="Q424" s="11"/>
      <c r="R424" s="17" t="s">
        <v>914</v>
      </c>
      <c r="S424" s="11"/>
      <c r="T424" s="11"/>
      <c r="U424" s="10" t="str">
        <f>HYPERLINK("https://pbs.twimg.com/profile_images/2906316440/4ed1570f50fd6f70f1b28d458997dd81.jpeg","View")</f>
        <v>View</v>
      </c>
    </row>
    <row r="425" spans="1:21" ht="91.8">
      <c r="A425" s="6">
        <v>43441.433888888889</v>
      </c>
      <c r="B425" s="7" t="str">
        <f>HYPERLINK("https://twitter.com/Keridamadrastra","@Keridamadrastra")</f>
        <v>@Keridamadrastra</v>
      </c>
      <c r="C425" s="8" t="s">
        <v>1580</v>
      </c>
      <c r="D425" s="9" t="s">
        <v>1581</v>
      </c>
      <c r="E425" s="10" t="str">
        <f>HYPERLINK("https://twitter.com/Keridamadrastra/status/1070972384046407680","1070972384046407680")</f>
        <v>1070972384046407680</v>
      </c>
      <c r="F425" s="12" t="s">
        <v>1582</v>
      </c>
      <c r="G425" s="11"/>
      <c r="H425" s="11"/>
      <c r="I425" s="14">
        <v>1</v>
      </c>
      <c r="J425" s="14">
        <v>1</v>
      </c>
      <c r="K425" s="15" t="str">
        <f t="shared" si="78"/>
        <v>Twitter Web Client</v>
      </c>
      <c r="L425" s="14">
        <v>278</v>
      </c>
      <c r="M425" s="14">
        <v>1430</v>
      </c>
      <c r="N425" s="14">
        <v>0</v>
      </c>
      <c r="O425" s="16"/>
      <c r="P425" s="6">
        <v>42725.514004629629</v>
      </c>
      <c r="Q425" s="11"/>
      <c r="R425" s="18"/>
      <c r="S425" s="11"/>
      <c r="T425" s="11"/>
      <c r="U425" s="10" t="str">
        <f>HYPERLINK("https://pbs.twimg.com/profile_images/811542389248630784/-euSetq6.jpg","View")</f>
        <v>View</v>
      </c>
    </row>
    <row r="426" spans="1:21" ht="51">
      <c r="A426" s="6">
        <v>43441.431863425925</v>
      </c>
      <c r="B426" s="7" t="str">
        <f>HYPERLINK("https://twitter.com/CsCarabanchel","@CsCarabanchel")</f>
        <v>@CsCarabanchel</v>
      </c>
      <c r="C426" s="8" t="s">
        <v>1583</v>
      </c>
      <c r="D426" s="9" t="s">
        <v>1584</v>
      </c>
      <c r="E426" s="10" t="str">
        <f>HYPERLINK("https://twitter.com/CsCarabanchel/status/1070971647853764608","1070971647853764608")</f>
        <v>1070971647853764608</v>
      </c>
      <c r="F426" s="13" t="s">
        <v>1585</v>
      </c>
      <c r="G426" s="11"/>
      <c r="H426" s="11"/>
      <c r="I426" s="14">
        <v>10</v>
      </c>
      <c r="J426" s="14">
        <v>10</v>
      </c>
      <c r="K426" s="15" t="str">
        <f>HYPERLINK("http://twitter.com/download/android","Twitter for Android")</f>
        <v>Twitter for Android</v>
      </c>
      <c r="L426" s="14">
        <v>2777</v>
      </c>
      <c r="M426" s="14">
        <v>248</v>
      </c>
      <c r="N426" s="14">
        <v>34</v>
      </c>
      <c r="O426" s="16"/>
      <c r="P426" s="6">
        <v>42290.749930555554</v>
      </c>
      <c r="Q426" s="11"/>
      <c r="R426" s="17" t="s">
        <v>1586</v>
      </c>
      <c r="S426" s="13" t="s">
        <v>1587</v>
      </c>
      <c r="T426" s="11"/>
      <c r="U426" s="10" t="str">
        <f>HYPERLINK("https://pbs.twimg.com/profile_images/899562690628157441/NezTBybx.jpg","View")</f>
        <v>View</v>
      </c>
    </row>
    <row r="427" spans="1:21" ht="40.799999999999997">
      <c r="A427" s="6">
        <v>43441.430567129632</v>
      </c>
      <c r="B427" s="7" t="str">
        <f>HYPERLINK("https://twitter.com/MBCSANJUAN","@MBCSANJUAN")</f>
        <v>@MBCSANJUAN</v>
      </c>
      <c r="C427" s="8" t="s">
        <v>1945</v>
      </c>
      <c r="D427" s="9" t="s">
        <v>1946</v>
      </c>
      <c r="E427" s="10" t="str">
        <f>HYPERLINK("https://twitter.com/MBCSANJUAN/status/1070971181459800064","1070971181459800064")</f>
        <v>1070971181459800064</v>
      </c>
      <c r="F427" s="13" t="s">
        <v>1948</v>
      </c>
      <c r="G427" s="11"/>
      <c r="H427" s="11"/>
      <c r="I427" s="14">
        <v>0</v>
      </c>
      <c r="J427" s="14">
        <v>0</v>
      </c>
      <c r="K427" s="15" t="str">
        <f>HYPERLINK("http://twitter.com","Twitter Web Client")</f>
        <v>Twitter Web Client</v>
      </c>
      <c r="L427" s="14">
        <v>5051</v>
      </c>
      <c r="M427" s="14">
        <v>5503</v>
      </c>
      <c r="N427" s="14">
        <v>15</v>
      </c>
      <c r="O427" s="16"/>
      <c r="P427" s="6">
        <v>40621.904479166667</v>
      </c>
      <c r="Q427" s="11"/>
      <c r="R427" s="18"/>
      <c r="S427" s="11"/>
      <c r="T427" s="11"/>
      <c r="U427" s="10" t="str">
        <f>HYPERLINK("https://pbs.twimg.com/profile_images/1617655494/CARACOL_embargado.jpg","View")</f>
        <v>View</v>
      </c>
    </row>
    <row r="428" spans="1:21" ht="30.6">
      <c r="A428" s="6">
        <v>43441.428877314815</v>
      </c>
      <c r="B428" s="7" t="str">
        <f>HYPERLINK("https://twitter.com/fmoralcsmurcia","@fmoralcsmurcia")</f>
        <v>@fmoralcsmurcia</v>
      </c>
      <c r="C428" s="8" t="s">
        <v>1588</v>
      </c>
      <c r="D428" s="9" t="s">
        <v>1589</v>
      </c>
      <c r="E428" s="10" t="str">
        <f>HYPERLINK("https://twitter.com/fmoralcsmurcia/status/1070970567174578176","1070970567174578176")</f>
        <v>1070970567174578176</v>
      </c>
      <c r="F428" s="11"/>
      <c r="G428" s="13" t="s">
        <v>1590</v>
      </c>
      <c r="H428" s="11"/>
      <c r="I428" s="14">
        <v>0</v>
      </c>
      <c r="J428" s="14">
        <v>1</v>
      </c>
      <c r="K428" s="15" t="str">
        <f>HYPERLINK("http://twitter.com/download/android","Twitter for Android")</f>
        <v>Twitter for Android</v>
      </c>
      <c r="L428" s="14">
        <v>122</v>
      </c>
      <c r="M428" s="14">
        <v>59</v>
      </c>
      <c r="N428" s="14">
        <v>0</v>
      </c>
      <c r="O428" s="16"/>
      <c r="P428" s="6">
        <v>42520.740057870367</v>
      </c>
      <c r="Q428" s="11"/>
      <c r="R428" s="17" t="s">
        <v>1591</v>
      </c>
      <c r="S428" s="11"/>
      <c r="T428" s="11"/>
      <c r="U428" s="10" t="str">
        <f>HYPERLINK("https://pbs.twimg.com/profile_images/1066466567809114113/l01V4fdr.jpg","View")</f>
        <v>View</v>
      </c>
    </row>
    <row r="429" spans="1:21" ht="61.2">
      <c r="A429" s="6">
        <v>43441.427233796298</v>
      </c>
      <c r="B429" s="7" t="str">
        <f>HYPERLINK("https://twitter.com/sir_zapatilla","@sir_zapatilla")</f>
        <v>@sir_zapatilla</v>
      </c>
      <c r="C429" s="8" t="s">
        <v>1592</v>
      </c>
      <c r="D429" s="9" t="s">
        <v>1593</v>
      </c>
      <c r="E429" s="10" t="str">
        <f>HYPERLINK("https://twitter.com/sir_zapatilla/status/1070969970161520641","1070969970161520641")</f>
        <v>1070969970161520641</v>
      </c>
      <c r="F429" s="13" t="s">
        <v>1156</v>
      </c>
      <c r="G429" s="13" t="s">
        <v>1159</v>
      </c>
      <c r="H429" s="11"/>
      <c r="I429" s="14">
        <v>0</v>
      </c>
      <c r="J429" s="14">
        <v>0</v>
      </c>
      <c r="K429" s="15" t="str">
        <f>HYPERLINK("http://twitter.com/download/iphone","Twitter for iPhone")</f>
        <v>Twitter for iPhone</v>
      </c>
      <c r="L429" s="14">
        <v>39</v>
      </c>
      <c r="M429" s="14">
        <v>133</v>
      </c>
      <c r="N429" s="14">
        <v>1</v>
      </c>
      <c r="O429" s="16"/>
      <c r="P429" s="6">
        <v>43011.345370370371</v>
      </c>
      <c r="Q429" s="12" t="s">
        <v>35</v>
      </c>
      <c r="R429" s="17" t="s">
        <v>1597</v>
      </c>
      <c r="S429" s="11"/>
      <c r="T429" s="11"/>
      <c r="U429" s="10" t="str">
        <f>HYPERLINK("https://pbs.twimg.com/profile_images/915104607373840384/79ZbS4uh.jpg","View")</f>
        <v>View</v>
      </c>
    </row>
    <row r="430" spans="1:21" ht="51">
      <c r="A430" s="6">
        <v>43441.422164351854</v>
      </c>
      <c r="B430" s="7" t="str">
        <f>HYPERLINK("https://twitter.com/_Gafas_y_reloj_","@_Gafas_y_reloj_")</f>
        <v>@_Gafas_y_reloj_</v>
      </c>
      <c r="C430" s="8" t="s">
        <v>284</v>
      </c>
      <c r="D430" s="9" t="s">
        <v>1957</v>
      </c>
      <c r="E430" s="10" t="str">
        <f>HYPERLINK("https://twitter.com/_Gafas_y_reloj_/status/1070968134029533185","1070968134029533185")</f>
        <v>1070968134029533185</v>
      </c>
      <c r="F430" s="13" t="s">
        <v>1156</v>
      </c>
      <c r="G430" s="13" t="s">
        <v>1159</v>
      </c>
      <c r="H430" s="11"/>
      <c r="I430" s="14">
        <v>3</v>
      </c>
      <c r="J430" s="14">
        <v>3</v>
      </c>
      <c r="K430" s="15" t="str">
        <f>HYPERLINK("http://twitter.com/download/android","Twitter for Android")</f>
        <v>Twitter for Android</v>
      </c>
      <c r="L430" s="14">
        <v>11839</v>
      </c>
      <c r="M430" s="14">
        <v>718</v>
      </c>
      <c r="N430" s="14">
        <v>194</v>
      </c>
      <c r="O430" s="16"/>
      <c r="P430" s="6">
        <v>40803.430173611108</v>
      </c>
      <c r="Q430" s="12" t="s">
        <v>288</v>
      </c>
      <c r="R430" s="17" t="s">
        <v>289</v>
      </c>
      <c r="S430" s="11"/>
      <c r="T430" s="11"/>
      <c r="U430" s="10" t="str">
        <f>HYPERLINK("https://pbs.twimg.com/profile_images/923940667965038593/LEd9tLut.jpg","View")</f>
        <v>View</v>
      </c>
    </row>
    <row r="431" spans="1:21" ht="20.399999999999999">
      <c r="A431" s="6">
        <v>43441.416666666672</v>
      </c>
      <c r="B431" s="7" t="str">
        <f>HYPERLINK("https://twitter.com/Cs_Tenerife","@Cs_Tenerife")</f>
        <v>@Cs_Tenerife</v>
      </c>
      <c r="C431" s="8" t="s">
        <v>1598</v>
      </c>
      <c r="D431" s="9" t="s">
        <v>1599</v>
      </c>
      <c r="E431" s="10" t="str">
        <f>HYPERLINK("https://twitter.com/Cs_Tenerife/status/1070966142653612032","1070966142653612032")</f>
        <v>1070966142653612032</v>
      </c>
      <c r="F431" s="13" t="s">
        <v>1420</v>
      </c>
      <c r="G431" s="11"/>
      <c r="H431" s="11"/>
      <c r="I431" s="14">
        <v>2</v>
      </c>
      <c r="J431" s="14">
        <v>2</v>
      </c>
      <c r="K431" s="15" t="str">
        <f>HYPERLINK("https://about.twitter.com/products/tweetdeck","TweetDeck")</f>
        <v>TweetDeck</v>
      </c>
      <c r="L431" s="14">
        <v>314</v>
      </c>
      <c r="M431" s="14">
        <v>412</v>
      </c>
      <c r="N431" s="14">
        <v>2</v>
      </c>
      <c r="O431" s="16"/>
      <c r="P431" s="6">
        <v>43006.477256944447</v>
      </c>
      <c r="Q431" s="12" t="s">
        <v>1601</v>
      </c>
      <c r="R431" s="17" t="s">
        <v>1602</v>
      </c>
      <c r="S431" s="13" t="s">
        <v>1506</v>
      </c>
      <c r="T431" s="11"/>
      <c r="U431" s="10" t="str">
        <f>HYPERLINK("https://pbs.twimg.com/profile_images/913334716803186688/AFUK2T9e.jpg","View")</f>
        <v>View</v>
      </c>
    </row>
    <row r="432" spans="1:21" ht="40.799999999999997">
      <c r="A432" s="6">
        <v>43441.414398148147</v>
      </c>
      <c r="B432" s="7" t="str">
        <f>HYPERLINK("https://twitter.com/DidacXavier","@DidacXavier")</f>
        <v>@DidacXavier</v>
      </c>
      <c r="C432" s="8" t="s">
        <v>1606</v>
      </c>
      <c r="D432" s="9" t="s">
        <v>1607</v>
      </c>
      <c r="E432" s="10" t="str">
        <f>HYPERLINK("https://twitter.com/DidacXavier/status/1070965319848615937","1070965319848615937")</f>
        <v>1070965319848615937</v>
      </c>
      <c r="F432" s="11"/>
      <c r="G432" s="11"/>
      <c r="H432" s="11"/>
      <c r="I432" s="14">
        <v>3</v>
      </c>
      <c r="J432" s="14">
        <v>4</v>
      </c>
      <c r="K432" s="15" t="str">
        <f t="shared" ref="K432:K434" si="79">HYPERLINK("http://twitter.com","Twitter Web Client")</f>
        <v>Twitter Web Client</v>
      </c>
      <c r="L432" s="14">
        <v>295</v>
      </c>
      <c r="M432" s="14">
        <v>336</v>
      </c>
      <c r="N432" s="14">
        <v>4</v>
      </c>
      <c r="O432" s="16"/>
      <c r="P432" s="6">
        <v>40840.563078703708</v>
      </c>
      <c r="Q432" s="11"/>
      <c r="R432" s="17" t="s">
        <v>1610</v>
      </c>
      <c r="S432" s="11"/>
      <c r="T432" s="11"/>
      <c r="U432" s="10" t="str">
        <f>HYPERLINK("https://pbs.twimg.com/profile_images/508562556563116032/Ab-37kIE.jpeg","View")</f>
        <v>View</v>
      </c>
    </row>
    <row r="433" spans="1:21" ht="40.799999999999997">
      <c r="A433" s="6">
        <v>43441.413090277776</v>
      </c>
      <c r="B433" s="7" t="str">
        <f>HYPERLINK("https://twitter.com/salvatciutadans","@salvatciutadans")</f>
        <v>@salvatciutadans</v>
      </c>
      <c r="C433" s="8" t="s">
        <v>1971</v>
      </c>
      <c r="D433" s="9" t="s">
        <v>1972</v>
      </c>
      <c r="E433" s="10" t="str">
        <f>HYPERLINK("https://twitter.com/salvatciutadans/status/1070964845330214912","1070964845330214912")</f>
        <v>1070964845330214912</v>
      </c>
      <c r="F433" s="13" t="s">
        <v>1973</v>
      </c>
      <c r="G433" s="11"/>
      <c r="H433" s="11"/>
      <c r="I433" s="14">
        <v>0</v>
      </c>
      <c r="J433" s="14">
        <v>0</v>
      </c>
      <c r="K433" s="15" t="str">
        <f t="shared" si="79"/>
        <v>Twitter Web Client</v>
      </c>
      <c r="L433" s="14">
        <v>1297</v>
      </c>
      <c r="M433" s="14">
        <v>1998</v>
      </c>
      <c r="N433" s="14">
        <v>17</v>
      </c>
      <c r="O433" s="16"/>
      <c r="P433" s="6">
        <v>42248.012662037036</v>
      </c>
      <c r="Q433" s="11"/>
      <c r="R433" s="17" t="s">
        <v>1974</v>
      </c>
      <c r="S433" s="11"/>
      <c r="T433" s="11"/>
      <c r="U433" s="10" t="str">
        <f>HYPERLINK("https://pbs.twimg.com/profile_images/1002432792372895744/e_u4E4bE.jpg","View")</f>
        <v>View</v>
      </c>
    </row>
    <row r="434" spans="1:21" ht="40.799999999999997">
      <c r="A434" s="6">
        <v>43441.412962962961</v>
      </c>
      <c r="B434" s="7" t="str">
        <f>HYPERLINK("https://twitter.com/El_Plural","@El_Plural")</f>
        <v>@El_Plural</v>
      </c>
      <c r="C434" s="8" t="s">
        <v>884</v>
      </c>
      <c r="D434" s="9" t="s">
        <v>1975</v>
      </c>
      <c r="E434" s="10" t="str">
        <f>HYPERLINK("https://twitter.com/El_Plural/status/1070964798014267393","1070964798014267393")</f>
        <v>1070964798014267393</v>
      </c>
      <c r="F434" s="13" t="s">
        <v>1948</v>
      </c>
      <c r="G434" s="11"/>
      <c r="H434" s="11"/>
      <c r="I434" s="14">
        <v>2</v>
      </c>
      <c r="J434" s="14">
        <v>0</v>
      </c>
      <c r="K434" s="15" t="str">
        <f t="shared" si="79"/>
        <v>Twitter Web Client</v>
      </c>
      <c r="L434" s="14">
        <v>72031</v>
      </c>
      <c r="M434" s="14">
        <v>1650</v>
      </c>
      <c r="N434" s="14">
        <v>2018</v>
      </c>
      <c r="O434" s="16"/>
      <c r="P434" s="6">
        <v>40351.51053240741</v>
      </c>
      <c r="Q434" s="12" t="s">
        <v>137</v>
      </c>
      <c r="R434" s="17" t="s">
        <v>889</v>
      </c>
      <c r="S434" s="13" t="s">
        <v>890</v>
      </c>
      <c r="T434" s="11"/>
      <c r="U434" s="10" t="str">
        <f>HYPERLINK("https://pbs.twimg.com/profile_images/1017707018138857473/kUt8X2tn.jpg","View")</f>
        <v>View</v>
      </c>
    </row>
    <row r="435" spans="1:21" ht="51">
      <c r="A435" s="6">
        <v>43441.412581018521</v>
      </c>
      <c r="B435" s="7" t="str">
        <f>HYPERLINK("https://twitter.com/FG72373327","@FG72373327")</f>
        <v>@FG72373327</v>
      </c>
      <c r="C435" s="8" t="s">
        <v>1229</v>
      </c>
      <c r="D435" s="9" t="s">
        <v>1611</v>
      </c>
      <c r="E435" s="10" t="str">
        <f>HYPERLINK("https://twitter.com/FG72373327/status/1070964663112749056","1070964663112749056")</f>
        <v>1070964663112749056</v>
      </c>
      <c r="F435" s="13" t="s">
        <v>1612</v>
      </c>
      <c r="G435" s="13" t="s">
        <v>1613</v>
      </c>
      <c r="H435" s="11"/>
      <c r="I435" s="14">
        <v>0</v>
      </c>
      <c r="J435" s="14">
        <v>1</v>
      </c>
      <c r="K435" s="15" t="str">
        <f>HYPERLINK("http://twitter.com/download/iphone","Twitter for iPhone")</f>
        <v>Twitter for iPhone</v>
      </c>
      <c r="L435" s="14">
        <v>888</v>
      </c>
      <c r="M435" s="14">
        <v>926</v>
      </c>
      <c r="N435" s="14">
        <v>6</v>
      </c>
      <c r="O435" s="16"/>
      <c r="P435" s="6">
        <v>42977.396006944444</v>
      </c>
      <c r="Q435" s="12" t="s">
        <v>60</v>
      </c>
      <c r="R435" s="18"/>
      <c r="S435" s="11"/>
      <c r="T435" s="11"/>
      <c r="U435" s="10" t="str">
        <f>HYPERLINK("https://pbs.twimg.com/profile_images/902802729009111040/RUuGyEn7.jpg","View")</f>
        <v>View</v>
      </c>
    </row>
    <row r="436" spans="1:21" ht="51">
      <c r="A436" s="6">
        <v>43441.410219907411</v>
      </c>
      <c r="B436" s="7" t="str">
        <f>HYPERLINK("https://twitter.com/pipasdecoco","@pipasdecoco")</f>
        <v>@pipasdecoco</v>
      </c>
      <c r="C436" s="8" t="s">
        <v>1614</v>
      </c>
      <c r="D436" s="9" t="s">
        <v>1615</v>
      </c>
      <c r="E436" s="10" t="str">
        <f>HYPERLINK("https://twitter.com/pipasdecoco/status/1070963804182335493","1070963804182335493")</f>
        <v>1070963804182335493</v>
      </c>
      <c r="F436" s="13" t="s">
        <v>1616</v>
      </c>
      <c r="G436" s="11"/>
      <c r="H436" s="11"/>
      <c r="I436" s="14">
        <v>0</v>
      </c>
      <c r="J436" s="14">
        <v>0</v>
      </c>
      <c r="K436" s="15" t="str">
        <f>HYPERLINK("http://twitter.com","Twitter Web Client")</f>
        <v>Twitter Web Client</v>
      </c>
      <c r="L436" s="14">
        <v>351</v>
      </c>
      <c r="M436" s="14">
        <v>876</v>
      </c>
      <c r="N436" s="14">
        <v>10</v>
      </c>
      <c r="O436" s="16"/>
      <c r="P436" s="6">
        <v>40682.17328703704</v>
      </c>
      <c r="Q436" s="12" t="s">
        <v>1619</v>
      </c>
      <c r="R436" s="17" t="s">
        <v>1620</v>
      </c>
      <c r="S436" s="13" t="s">
        <v>1621</v>
      </c>
      <c r="T436" s="11"/>
      <c r="U436" s="10" t="str">
        <f>HYPERLINK("https://pbs.twimg.com/profile_images/1047838173903118336/pPeyoKX3.jpg","View")</f>
        <v>View</v>
      </c>
    </row>
    <row r="437" spans="1:21" ht="81.599999999999994">
      <c r="A437" s="6">
        <v>43441.405509259261</v>
      </c>
      <c r="B437" s="7" t="str">
        <f>HYPERLINK("https://twitter.com/blete","@blete")</f>
        <v>@blete</v>
      </c>
      <c r="C437" s="8" t="s">
        <v>1978</v>
      </c>
      <c r="D437" s="9" t="s">
        <v>1979</v>
      </c>
      <c r="E437" s="10" t="str">
        <f>HYPERLINK("https://twitter.com/blete/status/1070962100040798208","1070962100040798208")</f>
        <v>1070962100040798208</v>
      </c>
      <c r="F437" s="12" t="s">
        <v>1982</v>
      </c>
      <c r="G437" s="11"/>
      <c r="H437" s="11"/>
      <c r="I437" s="14">
        <v>0</v>
      </c>
      <c r="J437" s="14">
        <v>0</v>
      </c>
      <c r="K437" s="15" t="str">
        <f>HYPERLINK("http://twitter.com/download/iphone","Twitter for iPhone")</f>
        <v>Twitter for iPhone</v>
      </c>
      <c r="L437" s="14">
        <v>631</v>
      </c>
      <c r="M437" s="14">
        <v>1040</v>
      </c>
      <c r="N437" s="14">
        <v>30</v>
      </c>
      <c r="O437" s="16"/>
      <c r="P437" s="6">
        <v>39464.675671296296</v>
      </c>
      <c r="Q437" s="12" t="s">
        <v>1983</v>
      </c>
      <c r="R437" s="17" t="s">
        <v>1984</v>
      </c>
      <c r="S437" s="11"/>
      <c r="T437" s="11"/>
      <c r="U437" s="10" t="str">
        <f>HYPERLINK("https://pbs.twimg.com/profile_images/1005149915058786304/bbd-UPvu.jpg","View")</f>
        <v>View</v>
      </c>
    </row>
    <row r="438" spans="1:21" ht="51">
      <c r="A438" s="6">
        <v>43441.402650462958</v>
      </c>
      <c r="B438" s="7" t="str">
        <f>HYPERLINK("https://twitter.com/CNavarroAGP","@CNavarroAGP")</f>
        <v>@CNavarroAGP</v>
      </c>
      <c r="C438" s="8" t="s">
        <v>1626</v>
      </c>
      <c r="D438" s="9" t="s">
        <v>39</v>
      </c>
      <c r="E438" s="10" t="str">
        <f>HYPERLINK("https://twitter.com/CNavarroAGP/status/1070961062495821826","1070961062495821826")</f>
        <v>1070961062495821826</v>
      </c>
      <c r="F438" s="13" t="s">
        <v>1629</v>
      </c>
      <c r="G438" s="11"/>
      <c r="H438" s="11"/>
      <c r="I438" s="14">
        <v>0</v>
      </c>
      <c r="J438" s="14">
        <v>0</v>
      </c>
      <c r="K438" s="15" t="str">
        <f>HYPERLINK("http://twitter.com","Twitter Web Client")</f>
        <v>Twitter Web Client</v>
      </c>
      <c r="L438" s="14">
        <v>199</v>
      </c>
      <c r="M438" s="14">
        <v>482</v>
      </c>
      <c r="N438" s="14">
        <v>6</v>
      </c>
      <c r="O438" s="16"/>
      <c r="P438" s="6">
        <v>40871.795081018521</v>
      </c>
      <c r="Q438" s="11"/>
      <c r="R438" s="18"/>
      <c r="S438" s="11"/>
      <c r="T438" s="11"/>
      <c r="U438" s="10" t="str">
        <f>HYPERLINK("https://pbs.twimg.com/profile_images/958846250434154497/SRSapo10.jpg","View")</f>
        <v>View</v>
      </c>
    </row>
    <row r="439" spans="1:21" ht="81.599999999999994">
      <c r="A439" s="6">
        <v>43441.401192129633</v>
      </c>
      <c r="B439" s="7" t="str">
        <f>HYPERLINK("https://twitter.com/Escapechris","@Escapechris")</f>
        <v>@Escapechris</v>
      </c>
      <c r="C439" s="8" t="s">
        <v>1990</v>
      </c>
      <c r="D439" s="9" t="s">
        <v>1992</v>
      </c>
      <c r="E439" s="10" t="str">
        <f>HYPERLINK("https://twitter.com/Escapechris/status/1070960534923558912","1070960534923558912")</f>
        <v>1070960534923558912</v>
      </c>
      <c r="F439" s="12" t="s">
        <v>1993</v>
      </c>
      <c r="G439" s="13" t="s">
        <v>1994</v>
      </c>
      <c r="H439" s="11"/>
      <c r="I439" s="14">
        <v>0</v>
      </c>
      <c r="J439" s="14">
        <v>0</v>
      </c>
      <c r="K439" s="15" t="str">
        <f>HYPERLINK("http://twitter.com/download/iphone","Twitter for iPhone")</f>
        <v>Twitter for iPhone</v>
      </c>
      <c r="L439" s="14">
        <v>90</v>
      </c>
      <c r="M439" s="14">
        <v>165</v>
      </c>
      <c r="N439" s="14">
        <v>7</v>
      </c>
      <c r="O439" s="16"/>
      <c r="P439" s="6">
        <v>40534.938634259262</v>
      </c>
      <c r="Q439" s="12" t="s">
        <v>1997</v>
      </c>
      <c r="R439" s="17" t="s">
        <v>1998</v>
      </c>
      <c r="S439" s="13" t="s">
        <v>1999</v>
      </c>
      <c r="T439" s="11"/>
      <c r="U439" s="10" t="str">
        <f>HYPERLINK("https://pbs.twimg.com/profile_images/1017938020350111744/9aOBQfJW.jpg","View")</f>
        <v>View</v>
      </c>
    </row>
    <row r="440" spans="1:21" ht="40.799999999999997">
      <c r="A440" s="6">
        <v>43441.397916666669</v>
      </c>
      <c r="B440" s="7" t="str">
        <f>HYPERLINK("https://twitter.com/cspescados","@cspescados")</f>
        <v>@cspescados</v>
      </c>
      <c r="C440" s="8" t="s">
        <v>600</v>
      </c>
      <c r="D440" s="9" t="s">
        <v>2000</v>
      </c>
      <c r="E440" s="10" t="str">
        <f>HYPERLINK("https://twitter.com/cspescados/status/1070959346534641664","1070959346534641664")</f>
        <v>1070959346534641664</v>
      </c>
      <c r="F440" s="13" t="s">
        <v>2002</v>
      </c>
      <c r="G440" s="13" t="s">
        <v>2003</v>
      </c>
      <c r="H440" s="11"/>
      <c r="I440" s="14">
        <v>4</v>
      </c>
      <c r="J440" s="14">
        <v>6</v>
      </c>
      <c r="K440" s="15" t="str">
        <f>HYPERLINK("https://about.twitter.com/products/tweetdeck","TweetDeck")</f>
        <v>TweetDeck</v>
      </c>
      <c r="L440" s="14">
        <v>14978</v>
      </c>
      <c r="M440" s="14">
        <v>818</v>
      </c>
      <c r="N440" s="14">
        <v>128</v>
      </c>
      <c r="O440" s="16"/>
      <c r="P440" s="6">
        <v>42097.732581018514</v>
      </c>
      <c r="Q440" s="12" t="s">
        <v>606</v>
      </c>
      <c r="R440" s="17" t="s">
        <v>607</v>
      </c>
      <c r="S440" s="13" t="s">
        <v>608</v>
      </c>
      <c r="T440" s="11"/>
      <c r="U440" s="10" t="str">
        <f>HYPERLINK("https://pbs.twimg.com/profile_images/600268890959126528/aC9kvTK_.jpg","View")</f>
        <v>View</v>
      </c>
    </row>
    <row r="441" spans="1:21" ht="20.399999999999999">
      <c r="A441" s="6">
        <v>43441.39738425926</v>
      </c>
      <c r="B441" s="7" t="str">
        <f>HYPERLINK("https://twitter.com/Dirty_Brut_Gus","@Dirty_Brut_Gus")</f>
        <v>@Dirty_Brut_Gus</v>
      </c>
      <c r="C441" s="8" t="s">
        <v>2005</v>
      </c>
      <c r="D441" s="9" t="s">
        <v>2006</v>
      </c>
      <c r="E441" s="10" t="str">
        <f>HYPERLINK("https://twitter.com/Dirty_Brut_Gus/status/1070959153714262016","1070959153714262016")</f>
        <v>1070959153714262016</v>
      </c>
      <c r="F441" s="11"/>
      <c r="G441" s="13" t="s">
        <v>2007</v>
      </c>
      <c r="H441" s="11"/>
      <c r="I441" s="14">
        <v>0</v>
      </c>
      <c r="J441" s="14">
        <v>1</v>
      </c>
      <c r="K441" s="15" t="str">
        <f t="shared" ref="K441:K443" si="80">HYPERLINK("http://twitter.com/download/android","Twitter for Android")</f>
        <v>Twitter for Android</v>
      </c>
      <c r="L441" s="14">
        <v>459</v>
      </c>
      <c r="M441" s="14">
        <v>1198</v>
      </c>
      <c r="N441" s="14">
        <v>3</v>
      </c>
      <c r="O441" s="16"/>
      <c r="P441" s="6">
        <v>40273.989085648151</v>
      </c>
      <c r="Q441" s="11"/>
      <c r="R441" s="17" t="s">
        <v>2010</v>
      </c>
      <c r="S441" s="11"/>
      <c r="T441" s="11"/>
      <c r="U441" s="10" t="str">
        <f>HYPERLINK("https://pbs.twimg.com/profile_images/1010461634807164928/EGEPEL3K.jpg","View")</f>
        <v>View</v>
      </c>
    </row>
    <row r="442" spans="1:21" ht="81.599999999999994">
      <c r="A442" s="6">
        <v>43441.395601851851</v>
      </c>
      <c r="B442" s="7" t="str">
        <f>HYPERLINK("https://twitter.com/Panik81","@Panik81")</f>
        <v>@Panik81</v>
      </c>
      <c r="C442" s="8" t="s">
        <v>405</v>
      </c>
      <c r="D442" s="9" t="s">
        <v>2012</v>
      </c>
      <c r="E442" s="10" t="str">
        <f>HYPERLINK("https://twitter.com/Panik81/status/1070958508907085824","1070958508907085824")</f>
        <v>1070958508907085824</v>
      </c>
      <c r="F442" s="13" t="s">
        <v>2014</v>
      </c>
      <c r="G442" s="13" t="s">
        <v>2015</v>
      </c>
      <c r="H442" s="11"/>
      <c r="I442" s="14">
        <v>147</v>
      </c>
      <c r="J442" s="14">
        <v>104</v>
      </c>
      <c r="K442" s="15" t="str">
        <f t="shared" si="80"/>
        <v>Twitter for Android</v>
      </c>
      <c r="L442" s="14">
        <v>12963</v>
      </c>
      <c r="M442" s="14">
        <v>1545</v>
      </c>
      <c r="N442" s="14">
        <v>112</v>
      </c>
      <c r="O442" s="16"/>
      <c r="P442" s="6">
        <v>40910.592569444445</v>
      </c>
      <c r="Q442" s="11"/>
      <c r="R442" s="17" t="s">
        <v>408</v>
      </c>
      <c r="S442" s="11"/>
      <c r="T442" s="11"/>
      <c r="U442" s="10" t="str">
        <f>HYPERLINK("https://pbs.twimg.com/profile_images/765530824049655808/6PS-97m7.jpg","View")</f>
        <v>View</v>
      </c>
    </row>
    <row r="443" spans="1:21" ht="30.6">
      <c r="A443" s="6">
        <v>43441.392696759256</v>
      </c>
      <c r="B443" s="7" t="str">
        <f>HYPERLINK("https://twitter.com/tikotikoh","@tikotikoh")</f>
        <v>@tikotikoh</v>
      </c>
      <c r="C443" s="8" t="s">
        <v>2018</v>
      </c>
      <c r="D443" s="9" t="s">
        <v>2019</v>
      </c>
      <c r="E443" s="10" t="str">
        <f>HYPERLINK("https://twitter.com/tikotikoh/status/1070957456682033152","1070957456682033152")</f>
        <v>1070957456682033152</v>
      </c>
      <c r="F443" s="13" t="s">
        <v>2020</v>
      </c>
      <c r="G443" s="13" t="s">
        <v>2021</v>
      </c>
      <c r="H443" s="11"/>
      <c r="I443" s="14">
        <v>0</v>
      </c>
      <c r="J443" s="14">
        <v>0</v>
      </c>
      <c r="K443" s="15" t="str">
        <f t="shared" si="80"/>
        <v>Twitter for Android</v>
      </c>
      <c r="L443" s="14">
        <v>1323</v>
      </c>
      <c r="M443" s="14">
        <v>452</v>
      </c>
      <c r="N443" s="14">
        <v>23</v>
      </c>
      <c r="O443" s="16"/>
      <c r="P443" s="6">
        <v>42363.568726851852</v>
      </c>
      <c r="Q443" s="12" t="s">
        <v>2022</v>
      </c>
      <c r="R443" s="17" t="s">
        <v>2023</v>
      </c>
      <c r="S443" s="11"/>
      <c r="T443" s="11"/>
      <c r="U443" s="10" t="str">
        <f>HYPERLINK("https://pbs.twimg.com/profile_images/1058070532791455744/fN7tMxXq.jpg","View")</f>
        <v>View</v>
      </c>
    </row>
    <row r="444" spans="1:21" ht="51">
      <c r="A444" s="6">
        <v>43441.391562500001</v>
      </c>
      <c r="B444" s="7" t="str">
        <f>HYPERLINK("https://twitter.com/hazteoir","@hazteoir")</f>
        <v>@hazteoir</v>
      </c>
      <c r="C444" s="21" t="s">
        <v>1186</v>
      </c>
      <c r="D444" s="9" t="s">
        <v>1630</v>
      </c>
      <c r="E444" s="10" t="str">
        <f>HYPERLINK("https://twitter.com/hazteoir/status/1070957043392110592","1070957043392110592")</f>
        <v>1070957043392110592</v>
      </c>
      <c r="F444" s="13" t="s">
        <v>1631</v>
      </c>
      <c r="G444" s="11"/>
      <c r="H444" s="11"/>
      <c r="I444" s="14">
        <v>13</v>
      </c>
      <c r="J444" s="14">
        <v>19</v>
      </c>
      <c r="K444" s="15" t="str">
        <f>HYPERLINK("http://twitter.com","Twitter Web Client")</f>
        <v>Twitter Web Client</v>
      </c>
      <c r="L444" s="14">
        <v>51973</v>
      </c>
      <c r="M444" s="14">
        <v>1301</v>
      </c>
      <c r="N444" s="14">
        <v>651</v>
      </c>
      <c r="O444" s="19" t="s">
        <v>42</v>
      </c>
      <c r="P444" s="6">
        <v>39651.47347222222</v>
      </c>
      <c r="Q444" s="12" t="s">
        <v>1190</v>
      </c>
      <c r="R444" s="17" t="s">
        <v>1191</v>
      </c>
      <c r="S444" s="13" t="s">
        <v>1193</v>
      </c>
      <c r="T444" s="11"/>
      <c r="U444" s="10" t="str">
        <f>HYPERLINK("https://pbs.twimg.com/profile_images/506865978957783040/6Lq5KMRq.png","View")</f>
        <v>View</v>
      </c>
    </row>
    <row r="445" spans="1:21" ht="20.399999999999999">
      <c r="A445" s="6">
        <v>43441.390335648146</v>
      </c>
      <c r="B445" s="7" t="str">
        <f>HYPERLINK("https://twitter.com/carlosarboleja","@carlosarboleja")</f>
        <v>@carlosarboleja</v>
      </c>
      <c r="C445" s="8" t="s">
        <v>2031</v>
      </c>
      <c r="D445" s="9" t="s">
        <v>225</v>
      </c>
      <c r="E445" s="10" t="str">
        <f>HYPERLINK("https://twitter.com/carlosarboleja/status/1070956599907442690","1070956599907442690")</f>
        <v>1070956599907442690</v>
      </c>
      <c r="F445" s="13" t="s">
        <v>228</v>
      </c>
      <c r="G445" s="11"/>
      <c r="H445" s="11"/>
      <c r="I445" s="14">
        <v>0</v>
      </c>
      <c r="J445" s="14">
        <v>0</v>
      </c>
      <c r="K445" s="15" t="str">
        <f>HYPERLINK("http://twitter.com/download/iphone","Twitter for iPhone")</f>
        <v>Twitter for iPhone</v>
      </c>
      <c r="L445" s="14">
        <v>288</v>
      </c>
      <c r="M445" s="14">
        <v>956</v>
      </c>
      <c r="N445" s="14">
        <v>12</v>
      </c>
      <c r="O445" s="16"/>
      <c r="P445" s="6">
        <v>40612.004965277782</v>
      </c>
      <c r="Q445" s="11"/>
      <c r="R445" s="17" t="s">
        <v>2033</v>
      </c>
      <c r="S445" s="11"/>
      <c r="T445" s="11"/>
      <c r="U445" s="10" t="str">
        <f>HYPERLINK("https://pbs.twimg.com/profile_images/743683261721776128/TGFZKXJ8.jpg","View")</f>
        <v>View</v>
      </c>
    </row>
    <row r="446" spans="1:21" ht="81.599999999999994">
      <c r="A446" s="6">
        <v>43441.388043981482</v>
      </c>
      <c r="B446" s="7" t="str">
        <f>HYPERLINK("https://twitter.com/carlosraya_raya","@carlosraya_raya")</f>
        <v>@carlosraya_raya</v>
      </c>
      <c r="C446" s="8" t="s">
        <v>2035</v>
      </c>
      <c r="D446" s="9" t="s">
        <v>2036</v>
      </c>
      <c r="E446" s="10" t="str">
        <f>HYPERLINK("https://twitter.com/carlosraya_raya/status/1070955768759939073","1070955768759939073")</f>
        <v>1070955768759939073</v>
      </c>
      <c r="F446" s="13" t="s">
        <v>2038</v>
      </c>
      <c r="G446" s="13" t="s">
        <v>2039</v>
      </c>
      <c r="H446" s="11"/>
      <c r="I446" s="14">
        <v>0</v>
      </c>
      <c r="J446" s="14">
        <v>0</v>
      </c>
      <c r="K446" s="15" t="str">
        <f>HYPERLINK("http://twitter.com/download/android","Twitter for Android")</f>
        <v>Twitter for Android</v>
      </c>
      <c r="L446" s="14">
        <v>639</v>
      </c>
      <c r="M446" s="14">
        <v>614</v>
      </c>
      <c r="N446" s="14">
        <v>9</v>
      </c>
      <c r="O446" s="16"/>
      <c r="P446" s="6">
        <v>41986.777037037042</v>
      </c>
      <c r="Q446" s="12" t="s">
        <v>2042</v>
      </c>
      <c r="R446" s="17" t="s">
        <v>2043</v>
      </c>
      <c r="S446" s="11"/>
      <c r="T446" s="11"/>
      <c r="U446" s="10" t="str">
        <f>HYPERLINK("https://pbs.twimg.com/profile_images/774625909198450688/oa5ky-go.jpg","View")</f>
        <v>View</v>
      </c>
    </row>
    <row r="447" spans="1:21" ht="51">
      <c r="A447" s="6">
        <v>43441.385127314818</v>
      </c>
      <c r="B447" s="7" t="str">
        <f>HYPERLINK("https://twitter.com/AldoGCaeiro","@AldoGCaeiro")</f>
        <v>@AldoGCaeiro</v>
      </c>
      <c r="C447" s="8" t="s">
        <v>2045</v>
      </c>
      <c r="D447" s="9" t="s">
        <v>2046</v>
      </c>
      <c r="E447" s="10" t="str">
        <f>HYPERLINK("https://twitter.com/AldoGCaeiro/status/1070954710809657344","1070954710809657344")</f>
        <v>1070954710809657344</v>
      </c>
      <c r="F447" s="13" t="s">
        <v>2050</v>
      </c>
      <c r="G447" s="13" t="s">
        <v>2051</v>
      </c>
      <c r="H447" s="11"/>
      <c r="I447" s="14">
        <v>0</v>
      </c>
      <c r="J447" s="14">
        <v>0</v>
      </c>
      <c r="K447" s="15" t="str">
        <f>HYPERLINK("http://twitter.com/download/iphone","Twitter for iPhone")</f>
        <v>Twitter for iPhone</v>
      </c>
      <c r="L447" s="14">
        <v>693</v>
      </c>
      <c r="M447" s="14">
        <v>1596</v>
      </c>
      <c r="N447" s="14">
        <v>17</v>
      </c>
      <c r="O447" s="16"/>
      <c r="P447" s="6">
        <v>40203.65824074074</v>
      </c>
      <c r="Q447" s="12" t="s">
        <v>2052</v>
      </c>
      <c r="R447" s="17" t="s">
        <v>2053</v>
      </c>
      <c r="S447" s="11"/>
      <c r="T447" s="11"/>
      <c r="U447" s="10" t="str">
        <f>HYPERLINK("https://pbs.twimg.com/profile_images/495174241218605056/BGfhiv53.jpeg","View")</f>
        <v>View</v>
      </c>
    </row>
    <row r="448" spans="1:21" ht="30.6">
      <c r="A448" s="6">
        <v>43441.383136574077</v>
      </c>
      <c r="B448" s="7" t="str">
        <f>HYPERLINK("https://twitter.com/triplef31","@triplef31")</f>
        <v>@triplef31</v>
      </c>
      <c r="C448" s="8" t="s">
        <v>1632</v>
      </c>
      <c r="D448" s="9" t="s">
        <v>1633</v>
      </c>
      <c r="E448" s="10" t="str">
        <f>HYPERLINK("https://twitter.com/triplef31/status/1070953991511654400","1070953991511654400")</f>
        <v>1070953991511654400</v>
      </c>
      <c r="F448" s="13" t="s">
        <v>228</v>
      </c>
      <c r="G448" s="11"/>
      <c r="H448" s="11"/>
      <c r="I448" s="14">
        <v>0</v>
      </c>
      <c r="J448" s="14">
        <v>0</v>
      </c>
      <c r="K448" s="15" t="str">
        <f>HYPERLINK("http://twitter.com","Twitter Web Client")</f>
        <v>Twitter Web Client</v>
      </c>
      <c r="L448" s="14">
        <v>59</v>
      </c>
      <c r="M448" s="14">
        <v>290</v>
      </c>
      <c r="N448" s="14">
        <v>13</v>
      </c>
      <c r="O448" s="16"/>
      <c r="P448" s="6">
        <v>41790.687430555554</v>
      </c>
      <c r="Q448" s="12" t="s">
        <v>581</v>
      </c>
      <c r="R448" s="17" t="s">
        <v>1634</v>
      </c>
      <c r="S448" s="11"/>
      <c r="T448" s="11"/>
      <c r="U448" s="10" t="str">
        <f>HYPERLINK("https://pbs.twimg.com/profile_images/472748824146870272/SpSXML1o.jpeg","View")</f>
        <v>View</v>
      </c>
    </row>
    <row r="449" spans="1:21" ht="40.799999999999997">
      <c r="A449" s="6">
        <v>43441.382893518516</v>
      </c>
      <c r="B449" s="7" t="str">
        <f>HYPERLINK("https://twitter.com/txsans","@txsans")</f>
        <v>@txsans</v>
      </c>
      <c r="C449" s="8" t="s">
        <v>1635</v>
      </c>
      <c r="D449" s="9" t="s">
        <v>1636</v>
      </c>
      <c r="E449" s="10" t="str">
        <f>HYPERLINK("https://twitter.com/txsans/status/1070953902219108353","1070953902219108353")</f>
        <v>1070953902219108353</v>
      </c>
      <c r="F449" s="13" t="s">
        <v>1639</v>
      </c>
      <c r="G449" s="11"/>
      <c r="H449" s="11"/>
      <c r="I449" s="14">
        <v>0</v>
      </c>
      <c r="J449" s="14">
        <v>0</v>
      </c>
      <c r="K449" s="15" t="str">
        <f t="shared" ref="K449:K450" si="81">HYPERLINK("http://twitter.com/download/android","Twitter for Android")</f>
        <v>Twitter for Android</v>
      </c>
      <c r="L449" s="14">
        <v>71</v>
      </c>
      <c r="M449" s="14">
        <v>444</v>
      </c>
      <c r="N449" s="14">
        <v>0</v>
      </c>
      <c r="O449" s="16"/>
      <c r="P449" s="6">
        <v>41520.195972222224</v>
      </c>
      <c r="Q449" s="11"/>
      <c r="R449" s="17" t="s">
        <v>1642</v>
      </c>
      <c r="S449" s="11"/>
      <c r="T449" s="11"/>
      <c r="U449" s="10" t="str">
        <f>HYPERLINK("https://pbs.twimg.com/profile_images/1066603319806824448/gy9TVZTU.jpg","View")</f>
        <v>View</v>
      </c>
    </row>
    <row r="450" spans="1:21" ht="40.799999999999997">
      <c r="A450" s="6">
        <v>43441.38118055556</v>
      </c>
      <c r="B450" s="7" t="str">
        <f>HYPERLINK("https://twitter.com/Cs_Motilla","@Cs_Motilla")</f>
        <v>@Cs_Motilla</v>
      </c>
      <c r="C450" s="8" t="s">
        <v>1643</v>
      </c>
      <c r="D450" s="9" t="s">
        <v>1644</v>
      </c>
      <c r="E450" s="10" t="str">
        <f>HYPERLINK("https://twitter.com/Cs_Motilla/status/1070953283739635713","1070953283739635713")</f>
        <v>1070953283739635713</v>
      </c>
      <c r="F450" s="13" t="s">
        <v>1645</v>
      </c>
      <c r="G450" s="13" t="s">
        <v>1646</v>
      </c>
      <c r="H450" s="11"/>
      <c r="I450" s="14">
        <v>12</v>
      </c>
      <c r="J450" s="14">
        <v>15</v>
      </c>
      <c r="K450" s="15" t="str">
        <f t="shared" si="81"/>
        <v>Twitter for Android</v>
      </c>
      <c r="L450" s="14">
        <v>237</v>
      </c>
      <c r="M450" s="14">
        <v>198</v>
      </c>
      <c r="N450" s="14">
        <v>2</v>
      </c>
      <c r="O450" s="16"/>
      <c r="P450" s="6">
        <v>43241.517291666663</v>
      </c>
      <c r="Q450" s="12" t="s">
        <v>1648</v>
      </c>
      <c r="R450" s="17" t="s">
        <v>1649</v>
      </c>
      <c r="S450" s="13" t="s">
        <v>1650</v>
      </c>
      <c r="T450" s="11"/>
      <c r="U450" s="10" t="str">
        <f>HYPERLINK("https://pbs.twimg.com/profile_images/998513996364853249/2lX0XUz7.jpg","View")</f>
        <v>View</v>
      </c>
    </row>
    <row r="451" spans="1:21" ht="51">
      <c r="A451" s="6">
        <v>43441.381041666667</v>
      </c>
      <c r="B451" s="7" t="str">
        <f>HYPERLINK("https://twitter.com/diariobalear_es","@diariobalear_es")</f>
        <v>@diariobalear_es</v>
      </c>
      <c r="C451" s="8" t="s">
        <v>1653</v>
      </c>
      <c r="D451" s="9" t="s">
        <v>1654</v>
      </c>
      <c r="E451" s="10" t="str">
        <f>HYPERLINK("https://twitter.com/diariobalear_es/status/1070953229960298496","1070953229960298496")</f>
        <v>1070953229960298496</v>
      </c>
      <c r="F451" s="13" t="s">
        <v>1657</v>
      </c>
      <c r="G451" s="11"/>
      <c r="H451" s="11"/>
      <c r="I451" s="14">
        <v>9</v>
      </c>
      <c r="J451" s="14">
        <v>11</v>
      </c>
      <c r="K451" s="15" t="str">
        <f>HYPERLINK("http://twitter.com","Twitter Web Client")</f>
        <v>Twitter Web Client</v>
      </c>
      <c r="L451" s="14">
        <v>3223</v>
      </c>
      <c r="M451" s="14">
        <v>347</v>
      </c>
      <c r="N451" s="14">
        <v>71</v>
      </c>
      <c r="O451" s="16"/>
      <c r="P451" s="6">
        <v>41694.754687499997</v>
      </c>
      <c r="Q451" s="12" t="s">
        <v>1658</v>
      </c>
      <c r="R451" s="17" t="s">
        <v>1659</v>
      </c>
      <c r="S451" s="13" t="s">
        <v>1660</v>
      </c>
      <c r="T451" s="11"/>
      <c r="U451" s="10" t="str">
        <f>HYPERLINK("https://pbs.twimg.com/profile_images/992417277797597184/28OVRjFF.jpg","View")</f>
        <v>View</v>
      </c>
    </row>
    <row r="452" spans="1:21" ht="40.799999999999997">
      <c r="A452" s="6">
        <v>43441.378310185188</v>
      </c>
      <c r="B452" s="7" t="str">
        <f>HYPERLINK("https://twitter.com/RedoArturo","@RedoArturo")</f>
        <v>@RedoArturo</v>
      </c>
      <c r="C452" s="8" t="s">
        <v>2076</v>
      </c>
      <c r="D452" s="9" t="s">
        <v>225</v>
      </c>
      <c r="E452" s="10" t="str">
        <f>HYPERLINK("https://twitter.com/RedoArturo/status/1070952241329246208","1070952241329246208")</f>
        <v>1070952241329246208</v>
      </c>
      <c r="F452" s="13" t="s">
        <v>228</v>
      </c>
      <c r="G452" s="11"/>
      <c r="H452" s="11"/>
      <c r="I452" s="14">
        <v>0</v>
      </c>
      <c r="J452" s="14">
        <v>0</v>
      </c>
      <c r="K452" s="15" t="str">
        <f>HYPERLINK("http://twitter.com/download/android","Twitter for Android")</f>
        <v>Twitter for Android</v>
      </c>
      <c r="L452" s="14">
        <v>740</v>
      </c>
      <c r="M452" s="14">
        <v>1030</v>
      </c>
      <c r="N452" s="14">
        <v>15</v>
      </c>
      <c r="O452" s="16"/>
      <c r="P452" s="6">
        <v>42352.909803240742</v>
      </c>
      <c r="Q452" s="11"/>
      <c r="R452" s="17" t="s">
        <v>2078</v>
      </c>
      <c r="S452" s="11"/>
      <c r="T452" s="11"/>
      <c r="U452" s="10" t="str">
        <f>HYPERLINK("https://pbs.twimg.com/profile_images/964909883937251328/1pJQfgjF.jpg","View")</f>
        <v>View</v>
      </c>
    </row>
    <row r="453" spans="1:21" ht="30.6">
      <c r="A453" s="6">
        <v>43441.376157407409</v>
      </c>
      <c r="B453" s="7" t="str">
        <f>HYPERLINK("https://twitter.com/lavozdealmeria","@lavozdealmeria")</f>
        <v>@lavozdealmeria</v>
      </c>
      <c r="C453" s="8" t="s">
        <v>2081</v>
      </c>
      <c r="D453" s="9" t="s">
        <v>2082</v>
      </c>
      <c r="E453" s="10" t="str">
        <f>HYPERLINK("https://twitter.com/lavozdealmeria/status/1070951461104828421","1070951461104828421")</f>
        <v>1070951461104828421</v>
      </c>
      <c r="F453" s="13" t="s">
        <v>2083</v>
      </c>
      <c r="G453" s="11"/>
      <c r="H453" s="11"/>
      <c r="I453" s="14">
        <v>0</v>
      </c>
      <c r="J453" s="14">
        <v>1</v>
      </c>
      <c r="K453" s="15" t="str">
        <f>HYPERLINK("https://metricool.com","Metricool")</f>
        <v>Metricool</v>
      </c>
      <c r="L453" s="14">
        <v>65100</v>
      </c>
      <c r="M453" s="14">
        <v>544</v>
      </c>
      <c r="N453" s="14">
        <v>454</v>
      </c>
      <c r="O453" s="16"/>
      <c r="P453" s="6">
        <v>40601.515011574076</v>
      </c>
      <c r="Q453" s="12" t="s">
        <v>2085</v>
      </c>
      <c r="R453" s="17" t="s">
        <v>2086</v>
      </c>
      <c r="S453" s="13" t="s">
        <v>2087</v>
      </c>
      <c r="T453" s="11"/>
      <c r="U453" s="10" t="str">
        <f>HYPERLINK("https://pbs.twimg.com/profile_images/903233600249888773/E7owiIy7.jpg","View")</f>
        <v>View</v>
      </c>
    </row>
    <row r="454" spans="1:21" ht="51">
      <c r="A454" s="6">
        <v>43441.37364583333</v>
      </c>
      <c r="B454" s="7" t="str">
        <f>HYPERLINK("https://twitter.com/CiudadanosCs","@CiudadanosCs")</f>
        <v>@CiudadanosCs</v>
      </c>
      <c r="C454" s="8" t="s">
        <v>489</v>
      </c>
      <c r="D454" s="9" t="s">
        <v>1661</v>
      </c>
      <c r="E454" s="10" t="str">
        <f>HYPERLINK("https://twitter.com/CiudadanosCs/status/1070950552153010177","1070950552153010177")</f>
        <v>1070950552153010177</v>
      </c>
      <c r="F454" s="13" t="s">
        <v>1662</v>
      </c>
      <c r="G454" s="13" t="s">
        <v>1663</v>
      </c>
      <c r="H454" s="11"/>
      <c r="I454" s="14">
        <v>99</v>
      </c>
      <c r="J454" s="14">
        <v>161</v>
      </c>
      <c r="K454" s="15" t="str">
        <f>HYPERLINK("https://studio.twitter.com","Twitter Media Studio")</f>
        <v>Twitter Media Studio</v>
      </c>
      <c r="L454" s="14">
        <v>490821</v>
      </c>
      <c r="M454" s="14">
        <v>93557</v>
      </c>
      <c r="N454" s="14">
        <v>3338</v>
      </c>
      <c r="O454" s="19" t="s">
        <v>42</v>
      </c>
      <c r="P454" s="6">
        <v>39828.753460648149</v>
      </c>
      <c r="Q454" s="12" t="s">
        <v>137</v>
      </c>
      <c r="R454" s="17" t="s">
        <v>492</v>
      </c>
      <c r="S454" s="13" t="s">
        <v>493</v>
      </c>
      <c r="T454" s="11"/>
      <c r="U454" s="10" t="str">
        <f>HYPERLINK("https://pbs.twimg.com/profile_images/1053554096161075200/1z77_zBZ.jpg","View")</f>
        <v>View</v>
      </c>
    </row>
    <row r="455" spans="1:21" ht="40.799999999999997">
      <c r="A455" s="6">
        <v>43441.366168981476</v>
      </c>
      <c r="B455" s="7" t="str">
        <f>HYPERLINK("https://twitter.com/Cs_Europa","@Cs_Europa")</f>
        <v>@Cs_Europa</v>
      </c>
      <c r="C455" s="8" t="s">
        <v>1667</v>
      </c>
      <c r="D455" s="9" t="s">
        <v>1668</v>
      </c>
      <c r="E455" s="10" t="str">
        <f>HYPERLINK("https://twitter.com/Cs_Europa/status/1070947844142612480","1070947844142612480")</f>
        <v>1070947844142612480</v>
      </c>
      <c r="F455" s="13" t="s">
        <v>535</v>
      </c>
      <c r="G455" s="13" t="s">
        <v>1669</v>
      </c>
      <c r="H455" s="11"/>
      <c r="I455" s="14">
        <v>24</v>
      </c>
      <c r="J455" s="14">
        <v>25</v>
      </c>
      <c r="K455" s="15" t="str">
        <f>HYPERLINK("http://twitter.com","Twitter Web Client")</f>
        <v>Twitter Web Client</v>
      </c>
      <c r="L455" s="14">
        <v>6786</v>
      </c>
      <c r="M455" s="14">
        <v>575</v>
      </c>
      <c r="N455" s="14">
        <v>77</v>
      </c>
      <c r="O455" s="16"/>
      <c r="P455" s="6">
        <v>42409.516898148147</v>
      </c>
      <c r="Q455" s="12" t="s">
        <v>1670</v>
      </c>
      <c r="R455" s="17" t="s">
        <v>1671</v>
      </c>
      <c r="S455" s="13" t="s">
        <v>1672</v>
      </c>
      <c r="T455" s="11"/>
      <c r="U455" s="10" t="str">
        <f>HYPERLINK("https://pbs.twimg.com/profile_images/920218623687495680/GJnomEtD.jpg","View")</f>
        <v>View</v>
      </c>
    </row>
    <row r="456" spans="1:21" ht="40.799999999999997">
      <c r="A456" s="6">
        <v>43441.365439814814</v>
      </c>
      <c r="B456" s="7" t="str">
        <f>HYPERLINK("https://twitter.com/Delfos72220099","@Delfos72220099")</f>
        <v>@Delfos72220099</v>
      </c>
      <c r="C456" s="8" t="s">
        <v>2096</v>
      </c>
      <c r="D456" s="9" t="s">
        <v>2097</v>
      </c>
      <c r="E456" s="10" t="str">
        <f>HYPERLINK("https://twitter.com/Delfos72220099/status/1070947579238727680","1070947579238727680")</f>
        <v>1070947579238727680</v>
      </c>
      <c r="F456" s="11"/>
      <c r="G456" s="11"/>
      <c r="H456" s="11"/>
      <c r="I456" s="14">
        <v>2</v>
      </c>
      <c r="J456" s="14">
        <v>2</v>
      </c>
      <c r="K456" s="15" t="str">
        <f t="shared" ref="K456:K457" si="82">HYPERLINK("http://twitter.com/download/android","Twitter for Android")</f>
        <v>Twitter for Android</v>
      </c>
      <c r="L456" s="14">
        <v>23</v>
      </c>
      <c r="M456" s="14">
        <v>22</v>
      </c>
      <c r="N456" s="14">
        <v>0</v>
      </c>
      <c r="O456" s="16"/>
      <c r="P456" s="6">
        <v>42877.546527777777</v>
      </c>
      <c r="Q456" s="11"/>
      <c r="R456" s="17" t="s">
        <v>2099</v>
      </c>
      <c r="S456" s="11"/>
      <c r="T456" s="11"/>
      <c r="U456" s="10" t="str">
        <f>HYPERLINK("https://pbs.twimg.com/profile_images/978502010571055104/0HPyXYrL.jpg","View")</f>
        <v>View</v>
      </c>
    </row>
    <row r="457" spans="1:21" ht="30.6">
      <c r="A457" s="6">
        <v>43441.365277777775</v>
      </c>
      <c r="B457" s="7" t="str">
        <f>HYPERLINK("https://twitter.com/Julianvirome","@Julianvirome")</f>
        <v>@Julianvirome</v>
      </c>
      <c r="C457" s="8" t="s">
        <v>385</v>
      </c>
      <c r="D457" s="9" t="s">
        <v>2102</v>
      </c>
      <c r="E457" s="10" t="str">
        <f>HYPERLINK("https://twitter.com/Julianvirome/status/1070947517884436482","1070947517884436482")</f>
        <v>1070947517884436482</v>
      </c>
      <c r="F457" s="13" t="s">
        <v>2104</v>
      </c>
      <c r="G457" s="11"/>
      <c r="H457" s="11"/>
      <c r="I457" s="14">
        <v>0</v>
      </c>
      <c r="J457" s="14">
        <v>0</v>
      </c>
      <c r="K457" s="15" t="str">
        <f t="shared" si="82"/>
        <v>Twitter for Android</v>
      </c>
      <c r="L457" s="14">
        <v>2630</v>
      </c>
      <c r="M457" s="14">
        <v>4994</v>
      </c>
      <c r="N457" s="14">
        <v>23</v>
      </c>
      <c r="O457" s="16"/>
      <c r="P457" s="6">
        <v>40630.875810185185</v>
      </c>
      <c r="Q457" s="12" t="s">
        <v>29</v>
      </c>
      <c r="R457" s="17" t="s">
        <v>387</v>
      </c>
      <c r="S457" s="11"/>
      <c r="T457" s="11"/>
      <c r="U457" s="10" t="str">
        <f>HYPERLINK("https://pbs.twimg.com/profile_images/1015475281803530241/aBROVKXy.jpg","View")</f>
        <v>View</v>
      </c>
    </row>
    <row r="458" spans="1:21" ht="40.799999999999997">
      <c r="A458" s="6">
        <v>43441.361631944441</v>
      </c>
      <c r="B458" s="7" t="str">
        <f>HYPERLINK("https://twitter.com/AdeSiracusa","@AdeSiracusa")</f>
        <v>@AdeSiracusa</v>
      </c>
      <c r="C458" s="8" t="s">
        <v>79</v>
      </c>
      <c r="D458" s="9" t="s">
        <v>2107</v>
      </c>
      <c r="E458" s="10" t="str">
        <f>HYPERLINK("https://twitter.com/AdeSiracusa/status/1070946199505723394","1070946199505723394")</f>
        <v>1070946199505723394</v>
      </c>
      <c r="F458" s="13" t="s">
        <v>2108</v>
      </c>
      <c r="G458" s="11"/>
      <c r="H458" s="11"/>
      <c r="I458" s="14">
        <v>0</v>
      </c>
      <c r="J458" s="14">
        <v>0</v>
      </c>
      <c r="K458" s="15" t="str">
        <f>HYPERLINK("http://www.republicosvenezuela.com/","AdeSiracusa")</f>
        <v>AdeSiracusa</v>
      </c>
      <c r="L458" s="14">
        <v>4091</v>
      </c>
      <c r="M458" s="14">
        <v>4122</v>
      </c>
      <c r="N458" s="14">
        <v>12</v>
      </c>
      <c r="O458" s="16"/>
      <c r="P458" s="6">
        <v>42958.576388888891</v>
      </c>
      <c r="Q458" s="12" t="s">
        <v>87</v>
      </c>
      <c r="R458" s="17" t="s">
        <v>88</v>
      </c>
      <c r="S458" s="11"/>
      <c r="T458" s="11"/>
      <c r="U458" s="10" t="str">
        <f>HYPERLINK("https://pbs.twimg.com/profile_images/895978354591105024/x2wNXrPl.jpg","View")</f>
        <v>View</v>
      </c>
    </row>
    <row r="459" spans="1:21" ht="40.799999999999997">
      <c r="A459" s="6">
        <v>43441.356365740736</v>
      </c>
      <c r="B459" s="7" t="str">
        <f>HYPERLINK("https://twitter.com/CabreadoIronico","@CabreadoIronico")</f>
        <v>@CabreadoIronico</v>
      </c>
      <c r="C459" s="8" t="s">
        <v>833</v>
      </c>
      <c r="D459" s="9" t="s">
        <v>1673</v>
      </c>
      <c r="E459" s="10" t="str">
        <f>HYPERLINK("https://twitter.com/CabreadoIronico/status/1070944291319660545","1070944291319660545")</f>
        <v>1070944291319660545</v>
      </c>
      <c r="F459" s="11"/>
      <c r="G459" s="13" t="s">
        <v>1674</v>
      </c>
      <c r="H459" s="11"/>
      <c r="I459" s="14">
        <v>0</v>
      </c>
      <c r="J459" s="14">
        <v>0</v>
      </c>
      <c r="K459" s="15" t="str">
        <f>HYPERLINK("http://twitter.com/download/android","Twitter for Android")</f>
        <v>Twitter for Android</v>
      </c>
      <c r="L459" s="14">
        <v>15</v>
      </c>
      <c r="M459" s="14">
        <v>127</v>
      </c>
      <c r="N459" s="14">
        <v>0</v>
      </c>
      <c r="O459" s="16"/>
      <c r="P459" s="6">
        <v>43438.227893518517</v>
      </c>
      <c r="Q459" s="11"/>
      <c r="R459" s="18"/>
      <c r="S459" s="11"/>
      <c r="T459" s="11"/>
      <c r="U459" s="10" t="str">
        <f>HYPERLINK("https://pbs.twimg.com/profile_images/1069811905978687488/PVh96F51.jpg","View")</f>
        <v>View</v>
      </c>
    </row>
    <row r="460" spans="1:21" ht="61.2">
      <c r="A460" s="6">
        <v>43441.354409722218</v>
      </c>
      <c r="B460" s="7" t="str">
        <f>HYPERLINK("https://twitter.com/manuelgarciabof","@manuelgarciabof")</f>
        <v>@manuelgarciabof</v>
      </c>
      <c r="C460" s="8" t="s">
        <v>1677</v>
      </c>
      <c r="D460" s="9" t="s">
        <v>1678</v>
      </c>
      <c r="E460" s="10" t="str">
        <f>HYPERLINK("https://twitter.com/manuelgarciabof/status/1070943580716523526","1070943580716523526")</f>
        <v>1070943580716523526</v>
      </c>
      <c r="F460" s="13" t="s">
        <v>1679</v>
      </c>
      <c r="G460" s="13" t="s">
        <v>1680</v>
      </c>
      <c r="H460" s="11"/>
      <c r="I460" s="14">
        <v>6</v>
      </c>
      <c r="J460" s="14">
        <v>4</v>
      </c>
      <c r="K460" s="15" t="str">
        <f>HYPERLINK("http://twitter.com","Twitter Web Client")</f>
        <v>Twitter Web Client</v>
      </c>
      <c r="L460" s="14">
        <v>2246</v>
      </c>
      <c r="M460" s="14">
        <v>4362</v>
      </c>
      <c r="N460" s="14">
        <v>10</v>
      </c>
      <c r="O460" s="16"/>
      <c r="P460" s="6">
        <v>42538.449259259258</v>
      </c>
      <c r="Q460" s="11"/>
      <c r="R460" s="18"/>
      <c r="S460" s="11"/>
      <c r="T460" s="11"/>
      <c r="U460" s="10" t="str">
        <f>HYPERLINK("https://pbs.twimg.com/profile_images/753681433198198784/s1MZ0yYQ.jpg","View")</f>
        <v>View</v>
      </c>
    </row>
    <row r="461" spans="1:21" ht="40.799999999999997">
      <c r="A461" s="6">
        <v>43441.353599537033</v>
      </c>
      <c r="B461" s="7" t="str">
        <f>HYPERLINK("https://twitter.com/PdeSamos","@PdeSamos")</f>
        <v>@PdeSamos</v>
      </c>
      <c r="C461" s="8" t="s">
        <v>794</v>
      </c>
      <c r="D461" s="9" t="s">
        <v>2118</v>
      </c>
      <c r="E461" s="10" t="str">
        <f>HYPERLINK("https://twitter.com/PdeSamos/status/1070943288193093633","1070943288193093633")</f>
        <v>1070943288193093633</v>
      </c>
      <c r="F461" s="13" t="s">
        <v>2119</v>
      </c>
      <c r="G461" s="11"/>
      <c r="H461" s="11"/>
      <c r="I461" s="14">
        <v>0</v>
      </c>
      <c r="J461" s="14">
        <v>0</v>
      </c>
      <c r="K461" s="15" t="str">
        <f>HYPERLINK("http://republico.ddns.net","App Libertad PdeSamos")</f>
        <v>App Libertad PdeSamos</v>
      </c>
      <c r="L461" s="14">
        <v>5398</v>
      </c>
      <c r="M461" s="14">
        <v>5441</v>
      </c>
      <c r="N461" s="14">
        <v>12</v>
      </c>
      <c r="O461" s="16"/>
      <c r="P461" s="6">
        <v>42889.820567129631</v>
      </c>
      <c r="Q461" s="12" t="s">
        <v>800</v>
      </c>
      <c r="R461" s="17" t="s">
        <v>801</v>
      </c>
      <c r="S461" s="11"/>
      <c r="T461" s="11"/>
      <c r="U461" s="10" t="str">
        <f>HYPERLINK("https://pbs.twimg.com/profile_images/871063742003511296/xK2IYbrO.jpg","View")</f>
        <v>View</v>
      </c>
    </row>
    <row r="462" spans="1:21" ht="51">
      <c r="A462" s="6">
        <v>43441.353518518517</v>
      </c>
      <c r="B462" s="7" t="str">
        <f>HYPERLINK("https://twitter.com/manuelgarciabof","@manuelgarciabof")</f>
        <v>@manuelgarciabof</v>
      </c>
      <c r="C462" s="8" t="s">
        <v>1677</v>
      </c>
      <c r="D462" s="9" t="s">
        <v>1683</v>
      </c>
      <c r="E462" s="10" t="str">
        <f>HYPERLINK("https://twitter.com/manuelgarciabof/status/1070943258153574401","1070943258153574401")</f>
        <v>1070943258153574401</v>
      </c>
      <c r="F462" s="13" t="s">
        <v>1684</v>
      </c>
      <c r="G462" s="13" t="s">
        <v>1685</v>
      </c>
      <c r="H462" s="11"/>
      <c r="I462" s="14">
        <v>4</v>
      </c>
      <c r="J462" s="14">
        <v>6</v>
      </c>
      <c r="K462" s="15" t="str">
        <f t="shared" ref="K462:K463" si="83">HYPERLINK("http://twitter.com","Twitter Web Client")</f>
        <v>Twitter Web Client</v>
      </c>
      <c r="L462" s="14">
        <v>2246</v>
      </c>
      <c r="M462" s="14">
        <v>4362</v>
      </c>
      <c r="N462" s="14">
        <v>10</v>
      </c>
      <c r="O462" s="16"/>
      <c r="P462" s="6">
        <v>42538.449259259258</v>
      </c>
      <c r="Q462" s="11"/>
      <c r="R462" s="18"/>
      <c r="S462" s="11"/>
      <c r="T462" s="11"/>
      <c r="U462" s="10" t="str">
        <f>HYPERLINK("https://pbs.twimg.com/profile_images/753681433198198784/s1MZ0yYQ.jpg","View")</f>
        <v>View</v>
      </c>
    </row>
    <row r="463" spans="1:21" ht="51">
      <c r="A463" s="6">
        <v>43441.348680555559</v>
      </c>
      <c r="B463" s="7" t="str">
        <f>HYPERLINK("https://twitter.com/CsRegionMurcia","@CsRegionMurcia")</f>
        <v>@CsRegionMurcia</v>
      </c>
      <c r="C463" s="8" t="s">
        <v>817</v>
      </c>
      <c r="D463" s="9" t="s">
        <v>1688</v>
      </c>
      <c r="E463" s="10" t="str">
        <f>HYPERLINK("https://twitter.com/CsRegionMurcia/status/1070941505043529728","1070941505043529728")</f>
        <v>1070941505043529728</v>
      </c>
      <c r="F463" s="13" t="s">
        <v>1689</v>
      </c>
      <c r="G463" s="13" t="s">
        <v>1690</v>
      </c>
      <c r="H463" s="11"/>
      <c r="I463" s="14">
        <v>15</v>
      </c>
      <c r="J463" s="14">
        <v>17</v>
      </c>
      <c r="K463" s="15" t="str">
        <f t="shared" si="83"/>
        <v>Twitter Web Client</v>
      </c>
      <c r="L463" s="14">
        <v>6245</v>
      </c>
      <c r="M463" s="14">
        <v>1107</v>
      </c>
      <c r="N463" s="14">
        <v>96</v>
      </c>
      <c r="O463" s="19" t="s">
        <v>42</v>
      </c>
      <c r="P463" s="6">
        <v>40745.431666666671</v>
      </c>
      <c r="Q463" s="12" t="s">
        <v>820</v>
      </c>
      <c r="R463" s="17" t="s">
        <v>821</v>
      </c>
      <c r="S463" s="13" t="s">
        <v>822</v>
      </c>
      <c r="T463" s="11"/>
      <c r="U463" s="10" t="str">
        <f>HYPERLINK("https://pbs.twimg.com/profile_images/1053559144299614208/SFwaZPxU.jpg","View")</f>
        <v>View</v>
      </c>
    </row>
    <row r="464" spans="1:21" ht="30.6">
      <c r="A464" s="6">
        <v>43441.342256944445</v>
      </c>
      <c r="B464" s="7" t="str">
        <f>HYPERLINK("https://twitter.com/ghssshh","@ghssshh")</f>
        <v>@ghssshh</v>
      </c>
      <c r="C464" s="8" t="s">
        <v>2129</v>
      </c>
      <c r="D464" s="9" t="s">
        <v>2130</v>
      </c>
      <c r="E464" s="10" t="str">
        <f>HYPERLINK("https://twitter.com/ghssshh/status/1070939174788837376","1070939174788837376")</f>
        <v>1070939174788837376</v>
      </c>
      <c r="F464" s="11"/>
      <c r="G464" s="11"/>
      <c r="H464" s="11"/>
      <c r="I464" s="14">
        <v>0</v>
      </c>
      <c r="J464" s="14">
        <v>0</v>
      </c>
      <c r="K464" s="15" t="str">
        <f>HYPERLINK("http://twitter.com/download/android","Twitter for Android")</f>
        <v>Twitter for Android</v>
      </c>
      <c r="L464" s="14">
        <v>116</v>
      </c>
      <c r="M464" s="14">
        <v>44</v>
      </c>
      <c r="N464" s="14">
        <v>2</v>
      </c>
      <c r="O464" s="16"/>
      <c r="P464" s="6">
        <v>41988.953831018516</v>
      </c>
      <c r="Q464" s="11"/>
      <c r="R464" s="17" t="s">
        <v>2131</v>
      </c>
      <c r="S464" s="11"/>
      <c r="T464" s="11"/>
      <c r="U464" s="10" t="str">
        <f>HYPERLINK("https://pbs.twimg.com/profile_images/949597320273891328/udY9dMOO.jpg","View")</f>
        <v>View</v>
      </c>
    </row>
    <row r="465" spans="1:21" ht="51">
      <c r="A465" s="6">
        <v>43441.337997685187</v>
      </c>
      <c r="B465" s="7" t="str">
        <f>HYPERLINK("https://twitter.com/trendinaliaES","@trendinaliaES")</f>
        <v>@trendinaliaES</v>
      </c>
      <c r="C465" s="8" t="s">
        <v>1697</v>
      </c>
      <c r="D465" s="9" t="s">
        <v>1698</v>
      </c>
      <c r="E465" s="10" t="str">
        <f>HYPERLINK("https://twitter.com/trendinaliaES/status/1070937632199208960","1070937632199208960")</f>
        <v>1070937632199208960</v>
      </c>
      <c r="F465" s="13" t="s">
        <v>1699</v>
      </c>
      <c r="G465" s="11"/>
      <c r="H465" s="11" t="str">
        <f>HYPERLINK("https://ctrlq.org/maps/address/#40.4203,-3.7058","Map")</f>
        <v>Map</v>
      </c>
      <c r="I465" s="14">
        <v>0</v>
      </c>
      <c r="J465" s="14">
        <v>0</v>
      </c>
      <c r="K465" s="15" t="str">
        <f>HYPERLINK("http://laconversa.com","Es Tendencia en España")</f>
        <v>Es Tendencia en España</v>
      </c>
      <c r="L465" s="14">
        <v>49257</v>
      </c>
      <c r="M465" s="14">
        <v>34</v>
      </c>
      <c r="N465" s="14">
        <v>722</v>
      </c>
      <c r="O465" s="19" t="s">
        <v>42</v>
      </c>
      <c r="P465" s="6">
        <v>41319.819074074076</v>
      </c>
      <c r="Q465" s="12" t="s">
        <v>137</v>
      </c>
      <c r="R465" s="17" t="s">
        <v>1700</v>
      </c>
      <c r="S465" s="13" t="s">
        <v>1701</v>
      </c>
      <c r="T465" s="11"/>
      <c r="U465" s="10" t="str">
        <f>HYPERLINK("https://pbs.twimg.com/profile_images/696485210821632000/xpdMQ_mE.png","View")</f>
        <v>View</v>
      </c>
    </row>
    <row r="466" spans="1:21" ht="61.2">
      <c r="A466" s="6">
        <v>43441.324467592596</v>
      </c>
      <c r="B466" s="7" t="str">
        <f>HYPERLINK("https://twitter.com/ParadisePerduto","@ParadisePerduto")</f>
        <v>@ParadisePerduto</v>
      </c>
      <c r="C466" s="8" t="s">
        <v>1702</v>
      </c>
      <c r="D466" s="9" t="s">
        <v>1703</v>
      </c>
      <c r="E466" s="10" t="str">
        <f>HYPERLINK("https://twitter.com/ParadisePerduto/status/1070932728252649472","1070932728252649472")</f>
        <v>1070932728252649472</v>
      </c>
      <c r="F466" s="11"/>
      <c r="G466" s="11"/>
      <c r="H466" s="11"/>
      <c r="I466" s="14">
        <v>0</v>
      </c>
      <c r="J466" s="14">
        <v>0</v>
      </c>
      <c r="K466" s="15" t="str">
        <f t="shared" ref="K466:K467" si="84">HYPERLINK("http://twitter.com/download/android","Twitter for Android")</f>
        <v>Twitter for Android</v>
      </c>
      <c r="L466" s="14">
        <v>75</v>
      </c>
      <c r="M466" s="14">
        <v>152</v>
      </c>
      <c r="N466" s="14">
        <v>1</v>
      </c>
      <c r="O466" s="16"/>
      <c r="P466" s="6">
        <v>42617.982453703706</v>
      </c>
      <c r="Q466" s="11"/>
      <c r="R466" s="17" t="s">
        <v>1704</v>
      </c>
      <c r="S466" s="11"/>
      <c r="T466" s="11"/>
      <c r="U466" s="10" t="str">
        <f>HYPERLINK("https://pbs.twimg.com/profile_images/1070113971217317889/gLzWEcRQ.jpg","View")</f>
        <v>View</v>
      </c>
    </row>
    <row r="467" spans="1:21" ht="40.799999999999997">
      <c r="A467" s="6">
        <v>43441.317037037035</v>
      </c>
      <c r="B467" s="7" t="str">
        <f>HYPERLINK("https://twitter.com/guillermoordas_","@guillermoordas_")</f>
        <v>@guillermoordas_</v>
      </c>
      <c r="C467" s="8" t="s">
        <v>2137</v>
      </c>
      <c r="D467" s="9" t="s">
        <v>2138</v>
      </c>
      <c r="E467" s="10" t="str">
        <f>HYPERLINK("https://twitter.com/guillermoordas_/status/1070930036591599618","1070930036591599618")</f>
        <v>1070930036591599618</v>
      </c>
      <c r="F467" s="11"/>
      <c r="G467" s="13" t="s">
        <v>2139</v>
      </c>
      <c r="H467" s="11"/>
      <c r="I467" s="14">
        <v>1</v>
      </c>
      <c r="J467" s="14">
        <v>3</v>
      </c>
      <c r="K467" s="15" t="str">
        <f t="shared" si="84"/>
        <v>Twitter for Android</v>
      </c>
      <c r="L467" s="14">
        <v>15453</v>
      </c>
      <c r="M467" s="14">
        <v>14887</v>
      </c>
      <c r="N467" s="14">
        <v>74</v>
      </c>
      <c r="O467" s="16"/>
      <c r="P467" s="6">
        <v>42000.502812499995</v>
      </c>
      <c r="Q467" s="12" t="s">
        <v>2141</v>
      </c>
      <c r="R467" s="17" t="s">
        <v>2143</v>
      </c>
      <c r="S467" s="11"/>
      <c r="T467" s="11"/>
      <c r="U467" s="10" t="str">
        <f>HYPERLINK("https://pbs.twimg.com/profile_images/1050019578737233921/lQ65O313.jpg","View")</f>
        <v>View</v>
      </c>
    </row>
    <row r="468" spans="1:21" ht="51">
      <c r="A468" s="6">
        <v>43441.314201388886</v>
      </c>
      <c r="B468" s="7" t="str">
        <f>HYPERLINK("https://twitter.com/_alfredodiaz_","@_alfredodiaz_")</f>
        <v>@_alfredodiaz_</v>
      </c>
      <c r="C468" s="8" t="s">
        <v>2145</v>
      </c>
      <c r="D468" s="9" t="s">
        <v>2146</v>
      </c>
      <c r="E468" s="10" t="str">
        <f>HYPERLINK("https://twitter.com/_alfredodiaz_/status/1070929009800814592","1070929009800814592")</f>
        <v>1070929009800814592</v>
      </c>
      <c r="F468" s="12" t="s">
        <v>2147</v>
      </c>
      <c r="G468" s="11"/>
      <c r="H468" s="11"/>
      <c r="I468" s="14">
        <v>0</v>
      </c>
      <c r="J468" s="14">
        <v>0</v>
      </c>
      <c r="K468" s="15" t="str">
        <f>HYPERLINK("http://twitter.com","Twitter Web Client")</f>
        <v>Twitter Web Client</v>
      </c>
      <c r="L468" s="14">
        <v>225</v>
      </c>
      <c r="M468" s="14">
        <v>445</v>
      </c>
      <c r="N468" s="14">
        <v>1</v>
      </c>
      <c r="O468" s="16"/>
      <c r="P468" s="6">
        <v>41297.642500000002</v>
      </c>
      <c r="Q468" s="12" t="s">
        <v>60</v>
      </c>
      <c r="R468" s="17" t="s">
        <v>2149</v>
      </c>
      <c r="S468" s="13" t="s">
        <v>2150</v>
      </c>
      <c r="T468" s="11"/>
      <c r="U468" s="10" t="str">
        <f>HYPERLINK("https://pbs.twimg.com/profile_images/1069332101009428480/-TZFcUhf.jpg","View")</f>
        <v>View</v>
      </c>
    </row>
    <row r="469" spans="1:21" ht="30.6">
      <c r="A469" s="6">
        <v>43441.295949074076</v>
      </c>
      <c r="B469" s="7" t="str">
        <f>HYPERLINK("https://twitter.com/kiddo_the","@kiddo_the")</f>
        <v>@kiddo_the</v>
      </c>
      <c r="C469" s="8" t="s">
        <v>2153</v>
      </c>
      <c r="D469" s="9" t="s">
        <v>225</v>
      </c>
      <c r="E469" s="10" t="str">
        <f>HYPERLINK("https://twitter.com/kiddo_the/status/1070922397392519168","1070922397392519168")</f>
        <v>1070922397392519168</v>
      </c>
      <c r="F469" s="13" t="s">
        <v>228</v>
      </c>
      <c r="G469" s="11"/>
      <c r="H469" s="11"/>
      <c r="I469" s="14">
        <v>0</v>
      </c>
      <c r="J469" s="14">
        <v>0</v>
      </c>
      <c r="K469" s="15" t="str">
        <f>HYPERLINK("http://twitter.com/download/android","Twitter for Android")</f>
        <v>Twitter for Android</v>
      </c>
      <c r="L469" s="14">
        <v>1131</v>
      </c>
      <c r="M469" s="14">
        <v>1512</v>
      </c>
      <c r="N469" s="14">
        <v>13</v>
      </c>
      <c r="O469" s="16"/>
      <c r="P469" s="6">
        <v>42101.530821759261</v>
      </c>
      <c r="Q469" s="12" t="s">
        <v>60</v>
      </c>
      <c r="R469" s="17" t="s">
        <v>2156</v>
      </c>
      <c r="S469" s="11"/>
      <c r="T469" s="11"/>
      <c r="U469" s="10" t="str">
        <f>HYPERLINK("https://pbs.twimg.com/profile_images/917787207792021504/oCthRWjS.jpg","View")</f>
        <v>View</v>
      </c>
    </row>
    <row r="470" spans="1:21" ht="40.799999999999997">
      <c r="A470" s="6">
        <v>43441.281643518523</v>
      </c>
      <c r="B470" s="7" t="str">
        <f>HYPERLINK("https://twitter.com/AdeSiracusa","@AdeSiracusa")</f>
        <v>@AdeSiracusa</v>
      </c>
      <c r="C470" s="8" t="s">
        <v>79</v>
      </c>
      <c r="D470" s="9" t="s">
        <v>2159</v>
      </c>
      <c r="E470" s="10" t="str">
        <f>HYPERLINK("https://twitter.com/AdeSiracusa/status/1070917212553314304","1070917212553314304")</f>
        <v>1070917212553314304</v>
      </c>
      <c r="F470" s="13" t="s">
        <v>2160</v>
      </c>
      <c r="G470" s="11"/>
      <c r="H470" s="11"/>
      <c r="I470" s="14">
        <v>0</v>
      </c>
      <c r="J470" s="14">
        <v>0</v>
      </c>
      <c r="K470" s="15" t="str">
        <f>HYPERLINK("http://www.republicosvenezuela.com/","AdeSiracusa")</f>
        <v>AdeSiracusa</v>
      </c>
      <c r="L470" s="14">
        <v>4091</v>
      </c>
      <c r="M470" s="14">
        <v>4122</v>
      </c>
      <c r="N470" s="14">
        <v>12</v>
      </c>
      <c r="O470" s="16"/>
      <c r="P470" s="6">
        <v>42958.576388888891</v>
      </c>
      <c r="Q470" s="12" t="s">
        <v>87</v>
      </c>
      <c r="R470" s="17" t="s">
        <v>88</v>
      </c>
      <c r="S470" s="11"/>
      <c r="T470" s="11"/>
      <c r="U470" s="10" t="str">
        <f>HYPERLINK("https://pbs.twimg.com/profile_images/895978354591105024/x2wNXrPl.jpg","View")</f>
        <v>View</v>
      </c>
    </row>
    <row r="471" spans="1:21" ht="20.399999999999999">
      <c r="A471" s="6">
        <v>43441.27924768519</v>
      </c>
      <c r="B471" s="7" t="str">
        <f>HYPERLINK("https://twitter.com/RamonPereaGarc3","@RamonPereaGarc3")</f>
        <v>@RamonPereaGarc3</v>
      </c>
      <c r="C471" s="8" t="s">
        <v>2164</v>
      </c>
      <c r="D471" s="9" t="s">
        <v>2165</v>
      </c>
      <c r="E471" s="10" t="str">
        <f>HYPERLINK("https://twitter.com/RamonPereaGarc3/status/1070916341048188928","1070916341048188928")</f>
        <v>1070916341048188928</v>
      </c>
      <c r="F471" s="11"/>
      <c r="G471" s="11"/>
      <c r="H471" s="11"/>
      <c r="I471" s="14">
        <v>0</v>
      </c>
      <c r="J471" s="14">
        <v>0</v>
      </c>
      <c r="K471" s="15" t="str">
        <f t="shared" ref="K471:K472" si="85">HYPERLINK("http://twitter.com/download/android","Twitter for Android")</f>
        <v>Twitter for Android</v>
      </c>
      <c r="L471" s="14">
        <v>0</v>
      </c>
      <c r="M471" s="14">
        <v>1</v>
      </c>
      <c r="N471" s="14">
        <v>0</v>
      </c>
      <c r="O471" s="16"/>
      <c r="P471" s="6">
        <v>43381.202083333337</v>
      </c>
      <c r="Q471" s="12" t="s">
        <v>2167</v>
      </c>
      <c r="R471" s="18"/>
      <c r="S471" s="11"/>
      <c r="T471" s="11"/>
      <c r="U471" s="10" t="str">
        <f>HYPERLINK("https://pbs.twimg.com/profile_images/1049133463855661056/9LuzOGzr.jpg","View")</f>
        <v>View</v>
      </c>
    </row>
    <row r="472" spans="1:21" ht="51">
      <c r="A472" s="6">
        <v>43441.26840277778</v>
      </c>
      <c r="B472" s="7" t="str">
        <f>HYPERLINK("https://twitter.com/FdTabarnia","@FdTabarnia")</f>
        <v>@FdTabarnia</v>
      </c>
      <c r="C472" s="8" t="s">
        <v>2169</v>
      </c>
      <c r="D472" s="9" t="s">
        <v>2170</v>
      </c>
      <c r="E472" s="10" t="str">
        <f>HYPERLINK("https://twitter.com/FdTabarnia/status/1070912412449169408","1070912412449169408")</f>
        <v>1070912412449169408</v>
      </c>
      <c r="F472" s="13" t="s">
        <v>1316</v>
      </c>
      <c r="G472" s="11"/>
      <c r="H472" s="11"/>
      <c r="I472" s="14">
        <v>11</v>
      </c>
      <c r="J472" s="14">
        <v>8</v>
      </c>
      <c r="K472" s="15" t="str">
        <f t="shared" si="85"/>
        <v>Twitter for Android</v>
      </c>
      <c r="L472" s="14">
        <v>694</v>
      </c>
      <c r="M472" s="14">
        <v>742</v>
      </c>
      <c r="N472" s="14">
        <v>0</v>
      </c>
      <c r="O472" s="16"/>
      <c r="P472" s="6">
        <v>43384.125937500001</v>
      </c>
      <c r="Q472" s="12" t="s">
        <v>2171</v>
      </c>
      <c r="R472" s="17" t="s">
        <v>2172</v>
      </c>
      <c r="S472" s="11"/>
      <c r="T472" s="11"/>
      <c r="U472" s="10" t="str">
        <f>HYPERLINK("https://pbs.twimg.com/profile_images/1070571205936201728/ZRXOUAjq.jpg","View")</f>
        <v>View</v>
      </c>
    </row>
    <row r="473" spans="1:21" ht="51">
      <c r="A473" s="6">
        <v>43441.266608796301</v>
      </c>
      <c r="B473" s="7" t="str">
        <f>HYPERLINK("https://twitter.com/_Contemplador","@_Contemplador")</f>
        <v>@_Contemplador</v>
      </c>
      <c r="C473" s="8" t="s">
        <v>2175</v>
      </c>
      <c r="D473" s="9" t="s">
        <v>2176</v>
      </c>
      <c r="E473" s="10" t="str">
        <f>HYPERLINK("https://twitter.com/_Contemplador/status/1070911764873822210","1070911764873822210")</f>
        <v>1070911764873822210</v>
      </c>
      <c r="F473" s="11"/>
      <c r="G473" s="11"/>
      <c r="H473" s="11"/>
      <c r="I473" s="14">
        <v>2</v>
      </c>
      <c r="J473" s="14">
        <v>4</v>
      </c>
      <c r="K473" s="15" t="str">
        <f>HYPERLINK("http://twitter.com","Twitter Web Client")</f>
        <v>Twitter Web Client</v>
      </c>
      <c r="L473" s="14">
        <v>3077</v>
      </c>
      <c r="M473" s="14">
        <v>3016</v>
      </c>
      <c r="N473" s="14">
        <v>89</v>
      </c>
      <c r="O473" s="16"/>
      <c r="P473" s="6">
        <v>41912.593900462962</v>
      </c>
      <c r="Q473" s="12" t="s">
        <v>2177</v>
      </c>
      <c r="R473" s="17" t="s">
        <v>2178</v>
      </c>
      <c r="S473" s="11"/>
      <c r="T473" s="11"/>
      <c r="U473" s="10" t="str">
        <f>HYPERLINK("https://pbs.twimg.com/profile_images/965488672740184064/QN1l58tT.jpg","View")</f>
        <v>View</v>
      </c>
    </row>
    <row r="474" spans="1:21" ht="20.399999999999999">
      <c r="A474" s="6">
        <v>43441.265914351854</v>
      </c>
      <c r="B474" s="7" t="str">
        <f>HYPERLINK("https://twitter.com/fjmerid","@fjmerid")</f>
        <v>@fjmerid</v>
      </c>
      <c r="C474" s="8" t="s">
        <v>2179</v>
      </c>
      <c r="D474" s="9" t="s">
        <v>2180</v>
      </c>
      <c r="E474" s="10" t="str">
        <f>HYPERLINK("https://twitter.com/fjmerid/status/1070911511533707265","1070911511533707265")</f>
        <v>1070911511533707265</v>
      </c>
      <c r="F474" s="13" t="s">
        <v>2182</v>
      </c>
      <c r="G474" s="11"/>
      <c r="H474" s="11"/>
      <c r="I474" s="14">
        <v>0</v>
      </c>
      <c r="J474" s="14">
        <v>0</v>
      </c>
      <c r="K474" s="15" t="str">
        <f t="shared" ref="K474:K477" si="86">HYPERLINK("http://twitter.com/download/android","Twitter for Android")</f>
        <v>Twitter for Android</v>
      </c>
      <c r="L474" s="14">
        <v>3602</v>
      </c>
      <c r="M474" s="14">
        <v>4624</v>
      </c>
      <c r="N474" s="14">
        <v>36</v>
      </c>
      <c r="O474" s="16"/>
      <c r="P474" s="6">
        <v>40267.395937499998</v>
      </c>
      <c r="Q474" s="11"/>
      <c r="R474" s="18"/>
      <c r="S474" s="11"/>
      <c r="T474" s="11"/>
      <c r="U474" s="10" t="str">
        <f>HYPERLINK("https://pbs.twimg.com/profile_images/1894161557/image.jpg","View")</f>
        <v>View</v>
      </c>
    </row>
    <row r="475" spans="1:21" ht="40.799999999999997">
      <c r="A475" s="6">
        <v>43441.234050925923</v>
      </c>
      <c r="B475" s="7" t="str">
        <f>HYPERLINK("https://twitter.com/CarlosBasabe4","@CarlosBasabe4")</f>
        <v>@CarlosBasabe4</v>
      </c>
      <c r="C475" s="8" t="s">
        <v>2186</v>
      </c>
      <c r="D475" s="9" t="s">
        <v>2187</v>
      </c>
      <c r="E475" s="10" t="str">
        <f>HYPERLINK("https://twitter.com/CarlosBasabe4/status/1070899962744053760","1070899962744053760")</f>
        <v>1070899962744053760</v>
      </c>
      <c r="F475" s="13" t="s">
        <v>2188</v>
      </c>
      <c r="G475" s="13" t="s">
        <v>2191</v>
      </c>
      <c r="H475" s="11"/>
      <c r="I475" s="14">
        <v>0</v>
      </c>
      <c r="J475" s="14">
        <v>0</v>
      </c>
      <c r="K475" s="15" t="str">
        <f t="shared" si="86"/>
        <v>Twitter for Android</v>
      </c>
      <c r="L475" s="14">
        <v>1495</v>
      </c>
      <c r="M475" s="14">
        <v>4999</v>
      </c>
      <c r="N475" s="14">
        <v>3</v>
      </c>
      <c r="O475" s="16"/>
      <c r="P475" s="6">
        <v>43042.109201388885</v>
      </c>
      <c r="Q475" s="12" t="s">
        <v>2192</v>
      </c>
      <c r="R475" s="17" t="s">
        <v>2193</v>
      </c>
      <c r="S475" s="11"/>
      <c r="T475" s="11"/>
      <c r="U475" s="10" t="str">
        <f>HYPERLINK("https://pbs.twimg.com/profile_images/1002944252354195457/jSQJRNy2.jpg","View")</f>
        <v>View</v>
      </c>
    </row>
    <row r="476" spans="1:21" ht="20.399999999999999">
      <c r="A476" s="6">
        <v>43441.219155092593</v>
      </c>
      <c r="B476" s="7" t="str">
        <f>HYPERLINK("https://twitter.com/BenignoLeira","@BenignoLeira")</f>
        <v>@BenignoLeira</v>
      </c>
      <c r="C476" s="8" t="s">
        <v>2195</v>
      </c>
      <c r="D476" s="9" t="s">
        <v>2196</v>
      </c>
      <c r="E476" s="10" t="str">
        <f>HYPERLINK("https://twitter.com/BenignoLeira/status/1070894566188957696","1070894566188957696")</f>
        <v>1070894566188957696</v>
      </c>
      <c r="F476" s="13" t="s">
        <v>2199</v>
      </c>
      <c r="G476" s="11"/>
      <c r="H476" s="11"/>
      <c r="I476" s="14">
        <v>0</v>
      </c>
      <c r="J476" s="14">
        <v>0</v>
      </c>
      <c r="K476" s="15" t="str">
        <f t="shared" si="86"/>
        <v>Twitter for Android</v>
      </c>
      <c r="L476" s="14">
        <v>167</v>
      </c>
      <c r="M476" s="14">
        <v>899</v>
      </c>
      <c r="N476" s="14">
        <v>4</v>
      </c>
      <c r="O476" s="16"/>
      <c r="P476" s="6">
        <v>41053.869895833333</v>
      </c>
      <c r="Q476" s="12" t="s">
        <v>2200</v>
      </c>
      <c r="R476" s="17" t="s">
        <v>2201</v>
      </c>
      <c r="S476" s="13" t="s">
        <v>2202</v>
      </c>
      <c r="T476" s="11"/>
      <c r="U476" s="10" t="str">
        <f>HYPERLINK("https://pbs.twimg.com/profile_images/1071317918573580288/4iEOpWw6.jpg","View")</f>
        <v>View</v>
      </c>
    </row>
    <row r="477" spans="1:21" ht="51">
      <c r="A477" s="6">
        <v>43441.207835648151</v>
      </c>
      <c r="B477" s="7" t="str">
        <f>HYPERLINK("https://twitter.com/alhucema66","@alhucema66")</f>
        <v>@alhucema66</v>
      </c>
      <c r="C477" s="8" t="s">
        <v>1705</v>
      </c>
      <c r="D477" s="9" t="s">
        <v>1706</v>
      </c>
      <c r="E477" s="10" t="str">
        <f>HYPERLINK("https://twitter.com/alhucema66/status/1070890465845788672","1070890465845788672")</f>
        <v>1070890465845788672</v>
      </c>
      <c r="F477" s="13" t="s">
        <v>1707</v>
      </c>
      <c r="G477" s="11"/>
      <c r="H477" s="11"/>
      <c r="I477" s="14">
        <v>6</v>
      </c>
      <c r="J477" s="14">
        <v>7</v>
      </c>
      <c r="K477" s="15" t="str">
        <f t="shared" si="86"/>
        <v>Twitter for Android</v>
      </c>
      <c r="L477" s="14">
        <v>5764</v>
      </c>
      <c r="M477" s="14">
        <v>4767</v>
      </c>
      <c r="N477" s="14">
        <v>45</v>
      </c>
      <c r="O477" s="16"/>
      <c r="P477" s="6">
        <v>41238.686064814814</v>
      </c>
      <c r="Q477" s="11"/>
      <c r="R477" s="17" t="s">
        <v>1708</v>
      </c>
      <c r="S477" s="11"/>
      <c r="T477" s="11"/>
      <c r="U477" s="10" t="str">
        <f>HYPERLINK("https://pbs.twimg.com/profile_images/1061572877143732224/mS7cAvVU.jpg","View")</f>
        <v>View</v>
      </c>
    </row>
    <row r="478" spans="1:21" ht="40.799999999999997">
      <c r="A478" s="6">
        <v>43441.199062500003</v>
      </c>
      <c r="B478" s="7" t="str">
        <f>HYPERLINK("https://twitter.com/toninote","@toninote")</f>
        <v>@toninote</v>
      </c>
      <c r="C478" s="8" t="s">
        <v>1709</v>
      </c>
      <c r="D478" s="9" t="s">
        <v>1710</v>
      </c>
      <c r="E478" s="10" t="str">
        <f>HYPERLINK("https://twitter.com/toninote/status/1070887284612960257","1070887284612960257")</f>
        <v>1070887284612960257</v>
      </c>
      <c r="F478" s="11"/>
      <c r="G478" s="11"/>
      <c r="H478" s="11"/>
      <c r="I478" s="14">
        <v>0</v>
      </c>
      <c r="J478" s="14">
        <v>2</v>
      </c>
      <c r="K478" s="15" t="str">
        <f>HYPERLINK("http://twitter.com","Twitter Web Client")</f>
        <v>Twitter Web Client</v>
      </c>
      <c r="L478" s="14">
        <v>4246</v>
      </c>
      <c r="M478" s="14">
        <v>2809</v>
      </c>
      <c r="N478" s="14">
        <v>49</v>
      </c>
      <c r="O478" s="16"/>
      <c r="P478" s="6">
        <v>40275.243263888886</v>
      </c>
      <c r="Q478" s="12" t="s">
        <v>1711</v>
      </c>
      <c r="R478" s="17" t="s">
        <v>1712</v>
      </c>
      <c r="S478" s="13" t="s">
        <v>1713</v>
      </c>
      <c r="T478" s="11"/>
      <c r="U478" s="10" t="str">
        <f>HYPERLINK("https://pbs.twimg.com/profile_images/1069477907746234368/CUvcd_FK.jpg","View")</f>
        <v>View</v>
      </c>
    </row>
    <row r="479" spans="1:21" ht="20.399999999999999">
      <c r="A479" s="6">
        <v>43441.167210648149</v>
      </c>
      <c r="B479" s="7" t="str">
        <f>HYPERLINK("https://twitter.com/Franciscoalbac3","@Franciscoalbac3")</f>
        <v>@Franciscoalbac3</v>
      </c>
      <c r="C479" s="8" t="s">
        <v>1719</v>
      </c>
      <c r="D479" s="9" t="s">
        <v>1720</v>
      </c>
      <c r="E479" s="10" t="str">
        <f>HYPERLINK("https://twitter.com/Franciscoalbac3/status/1070875742806904832","1070875742806904832")</f>
        <v>1070875742806904832</v>
      </c>
      <c r="F479" s="13" t="s">
        <v>1723</v>
      </c>
      <c r="G479" s="11"/>
      <c r="H479" s="11"/>
      <c r="I479" s="14">
        <v>0</v>
      </c>
      <c r="J479" s="14">
        <v>0</v>
      </c>
      <c r="K479" s="15" t="str">
        <f>HYPERLINK("http://twitter.com/download/android","Twitter for Android")</f>
        <v>Twitter for Android</v>
      </c>
      <c r="L479" s="14">
        <v>444</v>
      </c>
      <c r="M479" s="14">
        <v>1048</v>
      </c>
      <c r="N479" s="14">
        <v>0</v>
      </c>
      <c r="O479" s="16"/>
      <c r="P479" s="6">
        <v>43374.81045138889</v>
      </c>
      <c r="Q479" s="12" t="s">
        <v>969</v>
      </c>
      <c r="R479" s="17" t="s">
        <v>1727</v>
      </c>
      <c r="S479" s="11"/>
      <c r="T479" s="11"/>
      <c r="U479" s="10" t="str">
        <f>HYPERLINK("https://pbs.twimg.com/profile_images/1046818958786088961/vDXcbRmG.jpg","View")</f>
        <v>View</v>
      </c>
    </row>
    <row r="480" spans="1:21" ht="71.400000000000006">
      <c r="A480" s="6">
        <v>43441.161192129628</v>
      </c>
      <c r="B480" s="7" t="str">
        <f>HYPERLINK("https://twitter.com/Conde_Duque","@Conde_Duque")</f>
        <v>@Conde_Duque</v>
      </c>
      <c r="C480" s="8" t="s">
        <v>2211</v>
      </c>
      <c r="D480" s="9" t="s">
        <v>2212</v>
      </c>
      <c r="E480" s="10" t="str">
        <f>HYPERLINK("https://twitter.com/Conde_Duque/status/1070873559248048130","1070873559248048130")</f>
        <v>1070873559248048130</v>
      </c>
      <c r="F480" s="13" t="s">
        <v>2213</v>
      </c>
      <c r="G480" s="11"/>
      <c r="H480" s="11"/>
      <c r="I480" s="14">
        <v>0</v>
      </c>
      <c r="J480" s="14">
        <v>0</v>
      </c>
      <c r="K480" s="15" t="str">
        <f>HYPERLINK("http://twitter.com/download/iphone","Twitter for iPhone")</f>
        <v>Twitter for iPhone</v>
      </c>
      <c r="L480" s="14">
        <v>1378</v>
      </c>
      <c r="M480" s="14">
        <v>2412</v>
      </c>
      <c r="N480" s="14">
        <v>0</v>
      </c>
      <c r="O480" s="16"/>
      <c r="P480" s="6">
        <v>40017.274270833332</v>
      </c>
      <c r="Q480" s="12" t="s">
        <v>2214</v>
      </c>
      <c r="R480" s="17" t="s">
        <v>2215</v>
      </c>
      <c r="S480" s="11"/>
      <c r="T480" s="11"/>
      <c r="U480" s="10" t="str">
        <f>HYPERLINK("https://pbs.twimg.com/profile_images/327670567/IMG00225-20090612-1848.jpg","View")</f>
        <v>View</v>
      </c>
    </row>
    <row r="481" spans="1:21" ht="40.799999999999997">
      <c r="A481" s="6">
        <v>43441.147465277776</v>
      </c>
      <c r="B481" s="7" t="str">
        <f>HYPERLINK("https://twitter.com/caldevk","@caldevk")</f>
        <v>@caldevk</v>
      </c>
      <c r="C481" s="8" t="s">
        <v>2216</v>
      </c>
      <c r="D481" s="9" t="s">
        <v>2217</v>
      </c>
      <c r="E481" s="10" t="str">
        <f>HYPERLINK("https://twitter.com/caldevk/status/1070868586263121920","1070868586263121920")</f>
        <v>1070868586263121920</v>
      </c>
      <c r="F481" s="12" t="s">
        <v>2218</v>
      </c>
      <c r="G481" s="11"/>
      <c r="H481" s="11"/>
      <c r="I481" s="14">
        <v>0</v>
      </c>
      <c r="J481" s="14">
        <v>0</v>
      </c>
      <c r="K481" s="15" t="str">
        <f>HYPERLINK("https://mobile.twitter.com","Twitter Lite")</f>
        <v>Twitter Lite</v>
      </c>
      <c r="L481" s="14">
        <v>956</v>
      </c>
      <c r="M481" s="14">
        <v>567</v>
      </c>
      <c r="N481" s="14">
        <v>12</v>
      </c>
      <c r="O481" s="16"/>
      <c r="P481" s="6">
        <v>41093.840949074074</v>
      </c>
      <c r="Q481" s="12" t="s">
        <v>2219</v>
      </c>
      <c r="R481" s="17" t="s">
        <v>2220</v>
      </c>
      <c r="S481" s="11"/>
      <c r="T481" s="11"/>
      <c r="U481" s="10" t="str">
        <f>HYPERLINK("https://pbs.twimg.com/profile_images/2507868228/7czwx8mehpzgealdcxxj.jpeg","View")</f>
        <v>View</v>
      </c>
    </row>
    <row r="482" spans="1:21" ht="40.799999999999997">
      <c r="A482" s="6">
        <v>43441.125891203701</v>
      </c>
      <c r="B482" s="7" t="str">
        <f>HYPERLINK("https://twitter.com/MiBaires","@MiBaires")</f>
        <v>@MiBaires</v>
      </c>
      <c r="C482" s="8" t="s">
        <v>1730</v>
      </c>
      <c r="D482" s="9" t="s">
        <v>1732</v>
      </c>
      <c r="E482" s="10" t="str">
        <f>HYPERLINK("https://twitter.com/MiBaires/status/1070860770097934336","1070860770097934336")</f>
        <v>1070860770097934336</v>
      </c>
      <c r="F482" s="13" t="s">
        <v>1542</v>
      </c>
      <c r="G482" s="13" t="s">
        <v>1543</v>
      </c>
      <c r="H482" s="11"/>
      <c r="I482" s="14">
        <v>0</v>
      </c>
      <c r="J482" s="14">
        <v>0</v>
      </c>
      <c r="K482" s="15" t="str">
        <f>HYPERLINK("http://twitter.com/download/android","Twitter for Android")</f>
        <v>Twitter for Android</v>
      </c>
      <c r="L482" s="14">
        <v>2980</v>
      </c>
      <c r="M482" s="14">
        <v>2321</v>
      </c>
      <c r="N482" s="14">
        <v>106</v>
      </c>
      <c r="O482" s="16"/>
      <c r="P482" s="6">
        <v>41740.808391203704</v>
      </c>
      <c r="Q482" s="12" t="s">
        <v>1734</v>
      </c>
      <c r="R482" s="17" t="s">
        <v>1735</v>
      </c>
      <c r="S482" s="11"/>
      <c r="T482" s="11"/>
      <c r="U482" s="10" t="str">
        <f>HYPERLINK("https://pbs.twimg.com/profile_images/1001141353940684800/Jl13Q8J-.jpg","View")</f>
        <v>View</v>
      </c>
    </row>
    <row r="483" spans="1:21" ht="51">
      <c r="A483" s="6">
        <v>43441.117013888885</v>
      </c>
      <c r="B483" s="7" t="str">
        <f>HYPERLINK("https://twitter.com/inesita_mv","@inesita_mv")</f>
        <v>@inesita_mv</v>
      </c>
      <c r="C483" s="8" t="s">
        <v>1736</v>
      </c>
      <c r="D483" s="9" t="s">
        <v>1737</v>
      </c>
      <c r="E483" s="10" t="str">
        <f>HYPERLINK("https://twitter.com/inesita_mv/status/1070857552475381761","1070857552475381761")</f>
        <v>1070857552475381761</v>
      </c>
      <c r="F483" s="13" t="s">
        <v>1738</v>
      </c>
      <c r="G483" s="11"/>
      <c r="H483" s="11"/>
      <c r="I483" s="14">
        <v>0</v>
      </c>
      <c r="J483" s="14">
        <v>0</v>
      </c>
      <c r="K483" s="15" t="str">
        <f t="shared" ref="K483:K485" si="87">HYPERLINK("http://twitter.com/download/iphone","Twitter for iPhone")</f>
        <v>Twitter for iPhone</v>
      </c>
      <c r="L483" s="14">
        <v>786</v>
      </c>
      <c r="M483" s="14">
        <v>1081</v>
      </c>
      <c r="N483" s="14">
        <v>5</v>
      </c>
      <c r="O483" s="16"/>
      <c r="P483" s="6">
        <v>42027.299016203702</v>
      </c>
      <c r="Q483" s="12" t="s">
        <v>1739</v>
      </c>
      <c r="R483" s="17" t="s">
        <v>1740</v>
      </c>
      <c r="S483" s="11"/>
      <c r="T483" s="11"/>
      <c r="U483" s="10" t="str">
        <f>HYPERLINK("https://pbs.twimg.com/profile_images/894497487599411201/ASEF-fQ0.jpg","View")</f>
        <v>View</v>
      </c>
    </row>
    <row r="484" spans="1:21" ht="51">
      <c r="A484" s="6">
        <v>43441.11237268518</v>
      </c>
      <c r="B484" s="7" t="str">
        <f>HYPERLINK("https://twitter.com/passion_eterna","@passion_eterna")</f>
        <v>@passion_eterna</v>
      </c>
      <c r="C484" s="8" t="s">
        <v>1741</v>
      </c>
      <c r="D484" s="9" t="s">
        <v>1742</v>
      </c>
      <c r="E484" s="10" t="str">
        <f>HYPERLINK("https://twitter.com/passion_eterna/status/1070855867690565634","1070855867690565634")</f>
        <v>1070855867690565634</v>
      </c>
      <c r="F484" s="11"/>
      <c r="G484" s="11"/>
      <c r="H484" s="11"/>
      <c r="I484" s="14">
        <v>1</v>
      </c>
      <c r="J484" s="14">
        <v>1</v>
      </c>
      <c r="K484" s="15" t="str">
        <f t="shared" si="87"/>
        <v>Twitter for iPhone</v>
      </c>
      <c r="L484" s="14">
        <v>466</v>
      </c>
      <c r="M484" s="14">
        <v>848</v>
      </c>
      <c r="N484" s="14">
        <v>2</v>
      </c>
      <c r="O484" s="16"/>
      <c r="P484" s="6">
        <v>41466.453032407408</v>
      </c>
      <c r="Q484" s="12" t="s">
        <v>1743</v>
      </c>
      <c r="R484" s="17" t="s">
        <v>1744</v>
      </c>
      <c r="S484" s="11"/>
      <c r="T484" s="11"/>
      <c r="U484" s="10" t="str">
        <f>HYPERLINK("https://pbs.twimg.com/profile_images/850287638967980032/1aJzaYSw.jpg","View")</f>
        <v>View</v>
      </c>
    </row>
    <row r="485" spans="1:21" ht="40.799999999999997">
      <c r="A485" s="6">
        <v>43441.070254629631</v>
      </c>
      <c r="B485" s="7" t="str">
        <f>HYPERLINK("https://twitter.com/domenec_ortiz","@domenec_ortiz")</f>
        <v>@domenec_ortiz</v>
      </c>
      <c r="C485" s="8" t="s">
        <v>2234</v>
      </c>
      <c r="D485" s="9" t="s">
        <v>225</v>
      </c>
      <c r="E485" s="10" t="str">
        <f>HYPERLINK("https://twitter.com/domenec_ortiz/status/1070840606946152448","1070840606946152448")</f>
        <v>1070840606946152448</v>
      </c>
      <c r="F485" s="13" t="s">
        <v>228</v>
      </c>
      <c r="G485" s="11"/>
      <c r="H485" s="11"/>
      <c r="I485" s="14">
        <v>2</v>
      </c>
      <c r="J485" s="14">
        <v>3</v>
      </c>
      <c r="K485" s="15" t="str">
        <f t="shared" si="87"/>
        <v>Twitter for iPhone</v>
      </c>
      <c r="L485" s="14">
        <v>9285</v>
      </c>
      <c r="M485" s="14">
        <v>5985</v>
      </c>
      <c r="N485" s="14">
        <v>73</v>
      </c>
      <c r="O485" s="16"/>
      <c r="P485" s="6">
        <v>41310.775046296294</v>
      </c>
      <c r="Q485" s="12" t="s">
        <v>2236</v>
      </c>
      <c r="R485" s="17" t="s">
        <v>2237</v>
      </c>
      <c r="S485" s="11"/>
      <c r="T485" s="11"/>
      <c r="U485" s="10" t="str">
        <f>HYPERLINK("https://pbs.twimg.com/profile_images/378800000699264746/5987c0916b8a717f3bb1b4d28f125346.jpeg","View")</f>
        <v>View</v>
      </c>
    </row>
    <row r="486" spans="1:21" ht="40.799999999999997">
      <c r="A486" s="6">
        <v>43441.068865740745</v>
      </c>
      <c r="B486" s="7" t="str">
        <f>HYPERLINK("https://twitter.com/cuin1425","@cuin1425")</f>
        <v>@cuin1425</v>
      </c>
      <c r="C486" s="8" t="s">
        <v>2241</v>
      </c>
      <c r="D486" s="9" t="s">
        <v>2242</v>
      </c>
      <c r="E486" s="10" t="str">
        <f>HYPERLINK("https://twitter.com/cuin1425/status/1070840104418201601","1070840104418201601")</f>
        <v>1070840104418201601</v>
      </c>
      <c r="F486" s="13" t="s">
        <v>2243</v>
      </c>
      <c r="G486" s="11"/>
      <c r="H486" s="11"/>
      <c r="I486" s="14">
        <v>0</v>
      </c>
      <c r="J486" s="14">
        <v>0</v>
      </c>
      <c r="K486" s="15" t="str">
        <f>HYPERLINK("http://www.facebook.com/twitter","Facebook")</f>
        <v>Facebook</v>
      </c>
      <c r="L486" s="14">
        <v>580</v>
      </c>
      <c r="M486" s="14">
        <v>977</v>
      </c>
      <c r="N486" s="14">
        <v>13</v>
      </c>
      <c r="O486" s="16"/>
      <c r="P486" s="6">
        <v>40274.437928240739</v>
      </c>
      <c r="Q486" s="12" t="s">
        <v>1005</v>
      </c>
      <c r="R486" s="17" t="s">
        <v>2247</v>
      </c>
      <c r="S486" s="11"/>
      <c r="T486" s="11"/>
      <c r="U486" s="10" t="str">
        <f>HYPERLINK("https://pbs.twimg.com/profile_images/820055555305832448/qbgSwEuX.jpg","View")</f>
        <v>View</v>
      </c>
    </row>
    <row r="487" spans="1:21" ht="30.6">
      <c r="A487" s="6">
        <v>43441.066759259258</v>
      </c>
      <c r="B487" s="7" t="str">
        <f>HYPERLINK("https://twitter.com/CortBea","@CortBea")</f>
        <v>@CortBea</v>
      </c>
      <c r="C487" s="8" t="s">
        <v>2249</v>
      </c>
      <c r="D487" s="9" t="s">
        <v>2251</v>
      </c>
      <c r="E487" s="10" t="str">
        <f>HYPERLINK("https://twitter.com/CortBea/status/1070839338018189312","1070839338018189312")</f>
        <v>1070839338018189312</v>
      </c>
      <c r="F487" s="11"/>
      <c r="G487" s="11"/>
      <c r="H487" s="11"/>
      <c r="I487" s="14">
        <v>0</v>
      </c>
      <c r="J487" s="14">
        <v>4</v>
      </c>
      <c r="K487" s="15" t="str">
        <f>HYPERLINK("http://twitter.com","Twitter Web Client")</f>
        <v>Twitter Web Client</v>
      </c>
      <c r="L487" s="14">
        <v>554</v>
      </c>
      <c r="M487" s="14">
        <v>526</v>
      </c>
      <c r="N487" s="14">
        <v>20</v>
      </c>
      <c r="O487" s="16"/>
      <c r="P487" s="6">
        <v>41556.950914351852</v>
      </c>
      <c r="Q487" s="12" t="s">
        <v>29</v>
      </c>
      <c r="R487" s="17" t="s">
        <v>2253</v>
      </c>
      <c r="S487" s="13" t="s">
        <v>2254</v>
      </c>
      <c r="T487" s="11"/>
      <c r="U487" s="10" t="str">
        <f>HYPERLINK("https://pbs.twimg.com/profile_images/1041311198795296769/rV8K94aK.jpg","View")</f>
        <v>View</v>
      </c>
    </row>
    <row r="488" spans="1:21" ht="40.799999999999997">
      <c r="A488" s="6">
        <v>43441.063425925924</v>
      </c>
      <c r="B488" s="7" t="str">
        <f>HYPERLINK("https://twitter.com/amorillahidalgo","@amorillahidalgo")</f>
        <v>@amorillahidalgo</v>
      </c>
      <c r="C488" s="8" t="s">
        <v>1745</v>
      </c>
      <c r="D488" s="9" t="s">
        <v>1746</v>
      </c>
      <c r="E488" s="10" t="str">
        <f>HYPERLINK("https://twitter.com/amorillahidalgo/status/1070838133611261958","1070838133611261958")</f>
        <v>1070838133611261958</v>
      </c>
      <c r="F488" s="11"/>
      <c r="G488" s="13" t="s">
        <v>1747</v>
      </c>
      <c r="H488" s="11"/>
      <c r="I488" s="14">
        <v>1</v>
      </c>
      <c r="J488" s="14">
        <v>1</v>
      </c>
      <c r="K488" s="15" t="str">
        <f>HYPERLINK("https://mobile.twitter.com","Twitter Lite")</f>
        <v>Twitter Lite</v>
      </c>
      <c r="L488" s="14">
        <v>102</v>
      </c>
      <c r="M488" s="14">
        <v>259</v>
      </c>
      <c r="N488" s="14">
        <v>0</v>
      </c>
      <c r="O488" s="16"/>
      <c r="P488" s="6">
        <v>43112.465347222227</v>
      </c>
      <c r="Q488" s="12" t="s">
        <v>1544</v>
      </c>
      <c r="R488" s="17" t="s">
        <v>1748</v>
      </c>
      <c r="S488" s="11"/>
      <c r="T488" s="11"/>
      <c r="U488" s="10" t="str">
        <f>HYPERLINK("https://pbs.twimg.com/profile_images/1030911885632258048/Sx0_Nxl9.jpg","View")</f>
        <v>View</v>
      </c>
    </row>
    <row r="489" spans="1:21" ht="51">
      <c r="A489" s="6">
        <v>43441.053831018522</v>
      </c>
      <c r="B489" s="7" t="str">
        <f>HYPERLINK("https://twitter.com/DidacXavier","@DidacXavier")</f>
        <v>@DidacXavier</v>
      </c>
      <c r="C489" s="8" t="s">
        <v>1606</v>
      </c>
      <c r="D489" s="9" t="s">
        <v>1751</v>
      </c>
      <c r="E489" s="10" t="str">
        <f>HYPERLINK("https://twitter.com/DidacXavier/status/1070834656789098501","1070834656789098501")</f>
        <v>1070834656789098501</v>
      </c>
      <c r="F489" s="11"/>
      <c r="G489" s="11"/>
      <c r="H489" s="11"/>
      <c r="I489" s="14">
        <v>0</v>
      </c>
      <c r="J489" s="14">
        <v>0</v>
      </c>
      <c r="K489" s="15" t="str">
        <f>HYPERLINK("http://twitter.com","Twitter Web Client")</f>
        <v>Twitter Web Client</v>
      </c>
      <c r="L489" s="14">
        <v>295</v>
      </c>
      <c r="M489" s="14">
        <v>336</v>
      </c>
      <c r="N489" s="14">
        <v>4</v>
      </c>
      <c r="O489" s="16"/>
      <c r="P489" s="6">
        <v>40840.563078703708</v>
      </c>
      <c r="Q489" s="11"/>
      <c r="R489" s="17" t="s">
        <v>1610</v>
      </c>
      <c r="S489" s="11"/>
      <c r="T489" s="11"/>
      <c r="U489" s="10" t="str">
        <f>HYPERLINK("https://pbs.twimg.com/profile_images/508562556563116032/Ab-37kIE.jpeg","View")</f>
        <v>View</v>
      </c>
    </row>
    <row r="490" spans="1:21" ht="20.399999999999999">
      <c r="A490" s="6">
        <v>43441.048055555555</v>
      </c>
      <c r="B490" s="7" t="str">
        <f>HYPERLINK("https://twitter.com/miguelguerrer17","@miguelguerrer17")</f>
        <v>@miguelguerrer17</v>
      </c>
      <c r="C490" s="8" t="s">
        <v>2259</v>
      </c>
      <c r="D490" s="9" t="s">
        <v>225</v>
      </c>
      <c r="E490" s="10" t="str">
        <f>HYPERLINK("https://twitter.com/miguelguerrer17/status/1070832561893576705","1070832561893576705")</f>
        <v>1070832561893576705</v>
      </c>
      <c r="F490" s="13" t="s">
        <v>228</v>
      </c>
      <c r="G490" s="11"/>
      <c r="H490" s="11"/>
      <c r="I490" s="14">
        <v>0</v>
      </c>
      <c r="J490" s="14">
        <v>0</v>
      </c>
      <c r="K490" s="15" t="str">
        <f>HYPERLINK("http://twitter.com/download/android","Twitter for Android")</f>
        <v>Twitter for Android</v>
      </c>
      <c r="L490" s="14">
        <v>1135</v>
      </c>
      <c r="M490" s="14">
        <v>860</v>
      </c>
      <c r="N490" s="14">
        <v>15</v>
      </c>
      <c r="O490" s="16"/>
      <c r="P490" s="6">
        <v>40723.861678240741</v>
      </c>
      <c r="Q490" s="12" t="s">
        <v>2261</v>
      </c>
      <c r="R490" s="17" t="s">
        <v>2262</v>
      </c>
      <c r="S490" s="11"/>
      <c r="T490" s="11"/>
      <c r="U490" s="10" t="str">
        <f>HYPERLINK("https://pbs.twimg.com/profile_images/2296680408/xo2a0vildn2kpgw3veyh.jpeg","View")</f>
        <v>View</v>
      </c>
    </row>
    <row r="491" spans="1:21" ht="40.799999999999997">
      <c r="A491" s="6">
        <v>43441.043842592597</v>
      </c>
      <c r="B491" s="7" t="str">
        <f t="shared" ref="B491:B492" si="88">HYPERLINK("https://twitter.com/jafombuena","@jafombuena")</f>
        <v>@jafombuena</v>
      </c>
      <c r="C491" s="8" t="s">
        <v>2264</v>
      </c>
      <c r="D491" s="9" t="s">
        <v>2265</v>
      </c>
      <c r="E491" s="10" t="str">
        <f>HYPERLINK("https://twitter.com/jafombuena/status/1070831033656832000","1070831033656832000")</f>
        <v>1070831033656832000</v>
      </c>
      <c r="F491" s="13" t="s">
        <v>2266</v>
      </c>
      <c r="G491" s="13" t="s">
        <v>2267</v>
      </c>
      <c r="H491" s="11"/>
      <c r="I491" s="14">
        <v>0</v>
      </c>
      <c r="J491" s="14">
        <v>0</v>
      </c>
      <c r="K491" s="15" t="str">
        <f t="shared" ref="K491:K492" si="89">HYPERLINK("https://dlvrit.com/","dlvr.it")</f>
        <v>dlvr.it</v>
      </c>
      <c r="L491" s="14">
        <v>2772</v>
      </c>
      <c r="M491" s="14">
        <v>2998</v>
      </c>
      <c r="N491" s="14">
        <v>40</v>
      </c>
      <c r="O491" s="16"/>
      <c r="P491" s="6">
        <v>41660.54755787037</v>
      </c>
      <c r="Q491" s="12" t="s">
        <v>2268</v>
      </c>
      <c r="R491" s="17" t="s">
        <v>2269</v>
      </c>
      <c r="S491" s="11"/>
      <c r="T491" s="11"/>
      <c r="U491" s="10" t="str">
        <f t="shared" ref="U491:U492" si="90">HYPERLINK("https://pbs.twimg.com/profile_images/1070714953131327488/aVtWH8fh.jpg","View")</f>
        <v>View</v>
      </c>
    </row>
    <row r="492" spans="1:21" ht="40.799999999999997">
      <c r="A492" s="6">
        <v>43441.043796296297</v>
      </c>
      <c r="B492" s="7" t="str">
        <f t="shared" si="88"/>
        <v>@jafombuena</v>
      </c>
      <c r="C492" s="8" t="s">
        <v>2264</v>
      </c>
      <c r="D492" s="9" t="s">
        <v>2271</v>
      </c>
      <c r="E492" s="10" t="str">
        <f>HYPERLINK("https://twitter.com/jafombuena/status/1070831019136180226","1070831019136180226")</f>
        <v>1070831019136180226</v>
      </c>
      <c r="F492" s="13" t="s">
        <v>2272</v>
      </c>
      <c r="G492" s="13" t="s">
        <v>2273</v>
      </c>
      <c r="H492" s="11"/>
      <c r="I492" s="14">
        <v>0</v>
      </c>
      <c r="J492" s="14">
        <v>0</v>
      </c>
      <c r="K492" s="15" t="str">
        <f t="shared" si="89"/>
        <v>dlvr.it</v>
      </c>
      <c r="L492" s="14">
        <v>2772</v>
      </c>
      <c r="M492" s="14">
        <v>2998</v>
      </c>
      <c r="N492" s="14">
        <v>40</v>
      </c>
      <c r="O492" s="16"/>
      <c r="P492" s="6">
        <v>41660.54755787037</v>
      </c>
      <c r="Q492" s="12" t="s">
        <v>2268</v>
      </c>
      <c r="R492" s="17" t="s">
        <v>2269</v>
      </c>
      <c r="S492" s="11"/>
      <c r="T492" s="11"/>
      <c r="U492" s="10" t="str">
        <f t="shared" si="90"/>
        <v>View</v>
      </c>
    </row>
    <row r="493" spans="1:21" ht="13.2">
      <c r="A493" s="6">
        <v>43441.042939814812</v>
      </c>
      <c r="B493" s="7" t="str">
        <f>HYPERLINK("https://twitter.com/ManuFuertes2","@ManuFuertes2")</f>
        <v>@ManuFuertes2</v>
      </c>
      <c r="C493" s="8" t="s">
        <v>2274</v>
      </c>
      <c r="D493" s="9" t="s">
        <v>2275</v>
      </c>
      <c r="E493" s="10" t="str">
        <f>HYPERLINK("https://twitter.com/ManuFuertes2/status/1070830709907120128","1070830709907120128")</f>
        <v>1070830709907120128</v>
      </c>
      <c r="F493" s="11"/>
      <c r="G493" s="11"/>
      <c r="H493" s="11"/>
      <c r="I493" s="14">
        <v>1</v>
      </c>
      <c r="J493" s="14">
        <v>1</v>
      </c>
      <c r="K493" s="15" t="str">
        <f>HYPERLINK("http://twitter.com/download/android","Twitter for Android")</f>
        <v>Twitter for Android</v>
      </c>
      <c r="L493" s="14">
        <v>27</v>
      </c>
      <c r="M493" s="14">
        <v>28</v>
      </c>
      <c r="N493" s="14">
        <v>0</v>
      </c>
      <c r="O493" s="16"/>
      <c r="P493" s="6">
        <v>43414.445983796293</v>
      </c>
      <c r="Q493" s="12" t="s">
        <v>2276</v>
      </c>
      <c r="R493" s="17" t="s">
        <v>2277</v>
      </c>
      <c r="S493" s="11"/>
      <c r="T493" s="11"/>
      <c r="U493" s="10" t="str">
        <f>HYPERLINK("https://pbs.twimg.com/profile_images/1063097712151879681/pENjNH22.jpg","View")</f>
        <v>View</v>
      </c>
    </row>
    <row r="494" spans="1:21" ht="61.2">
      <c r="A494" s="6">
        <v>43441.04115740741</v>
      </c>
      <c r="B494" s="7" t="str">
        <f>HYPERLINK("https://twitter.com/DidacSpolo","@DidacSpolo")</f>
        <v>@DidacSpolo</v>
      </c>
      <c r="C494" s="8" t="s">
        <v>1754</v>
      </c>
      <c r="D494" s="9" t="s">
        <v>1755</v>
      </c>
      <c r="E494" s="10" t="str">
        <f>HYPERLINK("https://twitter.com/DidacSpolo/status/1070830064059760640","1070830064059760640")</f>
        <v>1070830064059760640</v>
      </c>
      <c r="F494" s="11"/>
      <c r="G494" s="13" t="s">
        <v>1756</v>
      </c>
      <c r="H494" s="11"/>
      <c r="I494" s="14">
        <v>1</v>
      </c>
      <c r="J494" s="14">
        <v>3</v>
      </c>
      <c r="K494" s="15" t="str">
        <f>HYPERLINK("http://twitter.com/download/iphone","Twitter for iPhone")</f>
        <v>Twitter for iPhone</v>
      </c>
      <c r="L494" s="14">
        <v>361</v>
      </c>
      <c r="M494" s="14">
        <v>361</v>
      </c>
      <c r="N494" s="14">
        <v>3</v>
      </c>
      <c r="O494" s="16"/>
      <c r="P494" s="6">
        <v>41425.845729166671</v>
      </c>
      <c r="Q494" s="11"/>
      <c r="R494" s="17" t="s">
        <v>1757</v>
      </c>
      <c r="S494" s="11"/>
      <c r="T494" s="11"/>
      <c r="U494" s="10" t="str">
        <f>HYPERLINK("https://pbs.twimg.com/profile_images/378800000660149285/4872954276f3fb9ed299799fe0bb497b.jpeg","View")</f>
        <v>View</v>
      </c>
    </row>
    <row r="495" spans="1:21" ht="20.399999999999999">
      <c r="A495" s="6">
        <v>43441.040509259255</v>
      </c>
      <c r="B495" s="7" t="str">
        <f>HYPERLINK("https://twitter.com/joseantoniogo43","@joseantoniogo43")</f>
        <v>@joseantoniogo43</v>
      </c>
      <c r="C495" s="8" t="s">
        <v>2284</v>
      </c>
      <c r="D495" s="9" t="s">
        <v>225</v>
      </c>
      <c r="E495" s="10" t="str">
        <f>HYPERLINK("https://twitter.com/joseantoniogo43/status/1070829826007883782","1070829826007883782")</f>
        <v>1070829826007883782</v>
      </c>
      <c r="F495" s="13" t="s">
        <v>228</v>
      </c>
      <c r="G495" s="11"/>
      <c r="H495" s="11"/>
      <c r="I495" s="14">
        <v>1</v>
      </c>
      <c r="J495" s="14">
        <v>0</v>
      </c>
      <c r="K495" s="15" t="str">
        <f t="shared" ref="K495:K496" si="91">HYPERLINK("http://twitter.com/download/android","Twitter for Android")</f>
        <v>Twitter for Android</v>
      </c>
      <c r="L495" s="14">
        <v>4100</v>
      </c>
      <c r="M495" s="14">
        <v>4250</v>
      </c>
      <c r="N495" s="14">
        <v>39</v>
      </c>
      <c r="O495" s="16"/>
      <c r="P495" s="6">
        <v>40845.495509259257</v>
      </c>
      <c r="Q495" s="11"/>
      <c r="R495" s="18"/>
      <c r="S495" s="11"/>
      <c r="T495" s="11"/>
      <c r="U495" s="10" t="str">
        <f>HYPERLINK("https://pbs.twimg.com/profile_images/3576388686/a66d7c55b1a8af804079aea3e66d3f4f.jpeg","View")</f>
        <v>View</v>
      </c>
    </row>
    <row r="496" spans="1:21" ht="20.399999999999999">
      <c r="A496" s="6">
        <v>43441.037511574075</v>
      </c>
      <c r="B496" s="7" t="str">
        <f>HYPERLINK("https://twitter.com/ivancalderonsei","@ivancalderonsei")</f>
        <v>@ivancalderonsei</v>
      </c>
      <c r="C496" s="8" t="s">
        <v>2287</v>
      </c>
      <c r="D496" s="9" t="s">
        <v>2288</v>
      </c>
      <c r="E496" s="10" t="str">
        <f>HYPERLINK("https://twitter.com/ivancalderonsei/status/1070828742451302401","1070828742451302401")</f>
        <v>1070828742451302401</v>
      </c>
      <c r="F496" s="12" t="s">
        <v>2289</v>
      </c>
      <c r="G496" s="11"/>
      <c r="H496" s="11"/>
      <c r="I496" s="14">
        <v>0</v>
      </c>
      <c r="J496" s="14">
        <v>0</v>
      </c>
      <c r="K496" s="15" t="str">
        <f t="shared" si="91"/>
        <v>Twitter for Android</v>
      </c>
      <c r="L496" s="14">
        <v>67</v>
      </c>
      <c r="M496" s="14">
        <v>453</v>
      </c>
      <c r="N496" s="14">
        <v>0</v>
      </c>
      <c r="O496" s="16"/>
      <c r="P496" s="6">
        <v>42922.498761574076</v>
      </c>
      <c r="Q496" s="12" t="s">
        <v>1860</v>
      </c>
      <c r="R496" s="17" t="s">
        <v>2290</v>
      </c>
      <c r="S496" s="13" t="s">
        <v>2291</v>
      </c>
      <c r="T496" s="11"/>
      <c r="U496" s="10" t="str">
        <f>HYPERLINK("https://pbs.twimg.com/profile_images/1034410683348213760/MvzCHR88.jpg","View")</f>
        <v>View</v>
      </c>
    </row>
    <row r="497" spans="1:21" ht="71.400000000000006">
      <c r="A497" s="6">
        <v>43441.031423611115</v>
      </c>
      <c r="B497" s="7" t="str">
        <f>HYPERLINK("https://twitter.com/constanzawei","@constanzawei")</f>
        <v>@constanzawei</v>
      </c>
      <c r="C497" s="8" t="s">
        <v>2295</v>
      </c>
      <c r="D497" s="9" t="s">
        <v>2296</v>
      </c>
      <c r="E497" s="10" t="str">
        <f>HYPERLINK("https://twitter.com/constanzawei/status/1070826533084913665","1070826533084913665")</f>
        <v>1070826533084913665</v>
      </c>
      <c r="F497" s="13" t="s">
        <v>1523</v>
      </c>
      <c r="G497" s="11"/>
      <c r="H497" s="11"/>
      <c r="I497" s="14">
        <v>0</v>
      </c>
      <c r="J497" s="14">
        <v>0</v>
      </c>
      <c r="K497" s="15" t="str">
        <f t="shared" ref="K497:K498" si="92">HYPERLINK("http://twitter.com","Twitter Web Client")</f>
        <v>Twitter Web Client</v>
      </c>
      <c r="L497" s="14">
        <v>21</v>
      </c>
      <c r="M497" s="14">
        <v>0</v>
      </c>
      <c r="N497" s="14">
        <v>0</v>
      </c>
      <c r="O497" s="16"/>
      <c r="P497" s="6">
        <v>43014.357337962967</v>
      </c>
      <c r="Q497" s="11"/>
      <c r="R497" s="17" t="s">
        <v>2298</v>
      </c>
      <c r="S497" s="11"/>
      <c r="T497" s="11"/>
      <c r="U497" s="10" t="str">
        <f>HYPERLINK("https://pbs.twimg.com/profile_images/1067529482230292481/iK6cLDiP.jpg","View")</f>
        <v>View</v>
      </c>
    </row>
    <row r="498" spans="1:21" ht="71.400000000000006">
      <c r="A498" s="6">
        <v>43441.025995370372</v>
      </c>
      <c r="B498" s="7" t="str">
        <f>HYPERLINK("https://twitter.com/lopesaura","@lopesaura")</f>
        <v>@lopesaura</v>
      </c>
      <c r="C498" s="8" t="s">
        <v>1760</v>
      </c>
      <c r="D498" s="9" t="s">
        <v>1761</v>
      </c>
      <c r="E498" s="10" t="str">
        <f>HYPERLINK("https://twitter.com/lopesaura/status/1070824568951095296","1070824568951095296")</f>
        <v>1070824568951095296</v>
      </c>
      <c r="F498" s="13" t="s">
        <v>1764</v>
      </c>
      <c r="G498" s="13" t="s">
        <v>1765</v>
      </c>
      <c r="H498" s="11"/>
      <c r="I498" s="14">
        <v>0</v>
      </c>
      <c r="J498" s="14">
        <v>0</v>
      </c>
      <c r="K498" s="15" t="str">
        <f t="shared" si="92"/>
        <v>Twitter Web Client</v>
      </c>
      <c r="L498" s="14">
        <v>2379</v>
      </c>
      <c r="M498" s="14">
        <v>2269</v>
      </c>
      <c r="N498" s="14">
        <v>82</v>
      </c>
      <c r="O498" s="16"/>
      <c r="P498" s="6">
        <v>40815.832951388889</v>
      </c>
      <c r="Q498" s="11"/>
      <c r="R498" s="17" t="s">
        <v>1766</v>
      </c>
      <c r="S498" s="11"/>
      <c r="T498" s="11"/>
      <c r="U498" s="10" t="str">
        <f>HYPERLINK("https://pbs.twimg.com/profile_images/1019255930746175488/5sK1Izcq.jpg","View")</f>
        <v>View</v>
      </c>
    </row>
    <row r="499" spans="1:21" ht="40.799999999999997">
      <c r="A499" s="6">
        <v>43441.02443287037</v>
      </c>
      <c r="B499" s="7" t="str">
        <f>HYPERLINK("https://twitter.com/Linares9Provinc","@Linares9Provinc")</f>
        <v>@Linares9Provinc</v>
      </c>
      <c r="C499" s="8" t="s">
        <v>2304</v>
      </c>
      <c r="D499" s="9" t="s">
        <v>2305</v>
      </c>
      <c r="E499" s="10" t="str">
        <f>HYPERLINK("https://twitter.com/Linares9Provinc/status/1070824000572530688","1070824000572530688")</f>
        <v>1070824000572530688</v>
      </c>
      <c r="F499" s="13" t="s">
        <v>2307</v>
      </c>
      <c r="G499" s="11"/>
      <c r="H499" s="11"/>
      <c r="I499" s="14">
        <v>0</v>
      </c>
      <c r="J499" s="14">
        <v>0</v>
      </c>
      <c r="K499" s="15" t="str">
        <f>HYPERLINK("https://ifttt.com","IFTTT")</f>
        <v>IFTTT</v>
      </c>
      <c r="L499" s="14">
        <v>1421</v>
      </c>
      <c r="M499" s="14">
        <v>52</v>
      </c>
      <c r="N499" s="14">
        <v>14</v>
      </c>
      <c r="O499" s="16"/>
      <c r="P499" s="6">
        <v>41064.508668981478</v>
      </c>
      <c r="Q499" s="12" t="s">
        <v>2309</v>
      </c>
      <c r="R499" s="17" t="s">
        <v>2311</v>
      </c>
      <c r="S499" s="13" t="s">
        <v>2312</v>
      </c>
      <c r="T499" s="11"/>
      <c r="U499" s="10" t="str">
        <f>HYPERLINK("https://pbs.twimg.com/profile_images/1002683609470337024/akRKk1Wz.jpg","View")</f>
        <v>View</v>
      </c>
    </row>
    <row r="500" spans="1:21" ht="20.399999999999999">
      <c r="A500" s="6">
        <v>43441.022939814815</v>
      </c>
      <c r="B500" s="7" t="str">
        <f>HYPERLINK("https://twitter.com/sweetmadafacko","@sweetmadafacko")</f>
        <v>@sweetmadafacko</v>
      </c>
      <c r="C500" s="8" t="s">
        <v>1767</v>
      </c>
      <c r="D500" s="9" t="s">
        <v>1768</v>
      </c>
      <c r="E500" s="10" t="str">
        <f>HYPERLINK("https://twitter.com/sweetmadafacko/status/1070823460899819520","1070823460899819520")</f>
        <v>1070823460899819520</v>
      </c>
      <c r="F500" s="13" t="s">
        <v>1769</v>
      </c>
      <c r="G500" s="11"/>
      <c r="H500" s="11"/>
      <c r="I500" s="14">
        <v>0</v>
      </c>
      <c r="J500" s="14">
        <v>0</v>
      </c>
      <c r="K500" s="15" t="str">
        <f>HYPERLINK("http://twitter.com/download/iphone","Twitter for iPhone")</f>
        <v>Twitter for iPhone</v>
      </c>
      <c r="L500" s="14">
        <v>87</v>
      </c>
      <c r="M500" s="14">
        <v>473</v>
      </c>
      <c r="N500" s="14">
        <v>3</v>
      </c>
      <c r="O500" s="16"/>
      <c r="P500" s="6">
        <v>42744.922662037032</v>
      </c>
      <c r="Q500" s="12" t="s">
        <v>1770</v>
      </c>
      <c r="R500" s="17" t="s">
        <v>1771</v>
      </c>
      <c r="S500" s="11"/>
      <c r="T500" s="11"/>
      <c r="U500" s="10" t="str">
        <f>HYPERLINK("https://pbs.twimg.com/profile_images/1070456150666170368/AHsQtBjJ.jpg","View")</f>
        <v>View</v>
      </c>
    </row>
    <row r="501" spans="1:21" ht="51">
      <c r="A501" s="6">
        <v>43441.01630787037</v>
      </c>
      <c r="B501" s="7" t="str">
        <f>HYPERLINK("https://twitter.com/manuellago5","@manuellago5")</f>
        <v>@manuellago5</v>
      </c>
      <c r="C501" s="8" t="s">
        <v>1772</v>
      </c>
      <c r="D501" s="9" t="s">
        <v>1773</v>
      </c>
      <c r="E501" s="10" t="str">
        <f>HYPERLINK("https://twitter.com/manuellago5/status/1070821057555238912","1070821057555238912")</f>
        <v>1070821057555238912</v>
      </c>
      <c r="F501" s="11"/>
      <c r="G501" s="11"/>
      <c r="H501" s="11"/>
      <c r="I501" s="14">
        <v>1</v>
      </c>
      <c r="J501" s="14">
        <v>3</v>
      </c>
      <c r="K501" s="15" t="str">
        <f>HYPERLINK("http://twitter.com/download/android","Twitter for Android")</f>
        <v>Twitter for Android</v>
      </c>
      <c r="L501" s="14">
        <v>62</v>
      </c>
      <c r="M501" s="14">
        <v>121</v>
      </c>
      <c r="N501" s="14">
        <v>0</v>
      </c>
      <c r="O501" s="16"/>
      <c r="P501" s="6">
        <v>41664.71130787037</v>
      </c>
      <c r="Q501" s="11"/>
      <c r="R501" s="17" t="s">
        <v>1774</v>
      </c>
      <c r="S501" s="11"/>
      <c r="T501" s="11"/>
      <c r="U501" s="10" t="str">
        <f>HYPERLINK("https://pbs.twimg.com/profile_images/1003035813318483968/flYNGdtk.jpg","View")</f>
        <v>View</v>
      </c>
    </row>
    <row r="502" spans="1:21" ht="51">
      <c r="A502" s="6">
        <v>43441.014490740738</v>
      </c>
      <c r="B502" s="7" t="str">
        <f>HYPERLINK("https://twitter.com/mateomo68","@mateomo68")</f>
        <v>@mateomo68</v>
      </c>
      <c r="C502" s="8" t="s">
        <v>1775</v>
      </c>
      <c r="D502" s="9" t="s">
        <v>39</v>
      </c>
      <c r="E502" s="10" t="str">
        <f>HYPERLINK("https://twitter.com/mateomo68/status/1070820399510900737","1070820399510900737")</f>
        <v>1070820399510900737</v>
      </c>
      <c r="F502" s="13" t="s">
        <v>1776</v>
      </c>
      <c r="G502" s="11"/>
      <c r="H502" s="11"/>
      <c r="I502" s="14">
        <v>0</v>
      </c>
      <c r="J502" s="14">
        <v>0</v>
      </c>
      <c r="K502" s="15" t="str">
        <f>HYPERLINK("http://twitter.com/#!/download/ipad","Twitter for iPad")</f>
        <v>Twitter for iPad</v>
      </c>
      <c r="L502" s="14">
        <v>94</v>
      </c>
      <c r="M502" s="14">
        <v>251</v>
      </c>
      <c r="N502" s="14">
        <v>11</v>
      </c>
      <c r="O502" s="16"/>
      <c r="P502" s="6">
        <v>40677.587534722225</v>
      </c>
      <c r="Q502" s="12" t="s">
        <v>137</v>
      </c>
      <c r="R502" s="17" t="s">
        <v>1777</v>
      </c>
      <c r="S502" s="13" t="s">
        <v>1778</v>
      </c>
      <c r="T502" s="11"/>
      <c r="U502" s="10" t="str">
        <f>HYPERLINK("https://pbs.twimg.com/profile_images/689564774829547520/AYcU4V0q.jpg","View")</f>
        <v>View</v>
      </c>
    </row>
    <row r="503" spans="1:21" ht="61.2">
      <c r="A503" s="6">
        <v>43441.01390046296</v>
      </c>
      <c r="B503" s="7" t="str">
        <f>HYPERLINK("https://twitter.com/olga_noblejas","@olga_noblejas")</f>
        <v>@olga_noblejas</v>
      </c>
      <c r="C503" s="8" t="s">
        <v>1779</v>
      </c>
      <c r="D503" s="9" t="s">
        <v>1780</v>
      </c>
      <c r="E503" s="10" t="str">
        <f>HYPERLINK("https://twitter.com/olga_noblejas/status/1070820182673760256","1070820182673760256")</f>
        <v>1070820182673760256</v>
      </c>
      <c r="F503" s="12" t="s">
        <v>1781</v>
      </c>
      <c r="G503" s="11"/>
      <c r="H503" s="11"/>
      <c r="I503" s="14">
        <v>0</v>
      </c>
      <c r="J503" s="14">
        <v>0</v>
      </c>
      <c r="K503" s="15" t="str">
        <f>HYPERLINK("http://twitter.com/download/iphone","Twitter for iPhone")</f>
        <v>Twitter for iPhone</v>
      </c>
      <c r="L503" s="14">
        <v>904</v>
      </c>
      <c r="M503" s="14">
        <v>2317</v>
      </c>
      <c r="N503" s="14">
        <v>2</v>
      </c>
      <c r="O503" s="16"/>
      <c r="P503" s="6">
        <v>42015.742222222223</v>
      </c>
      <c r="Q503" s="12" t="s">
        <v>969</v>
      </c>
      <c r="R503" s="17" t="s">
        <v>1782</v>
      </c>
      <c r="S503" s="11"/>
      <c r="T503" s="11"/>
      <c r="U503" s="10" t="str">
        <f>HYPERLINK("https://pbs.twimg.com/profile_images/1053421760996085761/52Br79xI.jpg","View")</f>
        <v>View</v>
      </c>
    </row>
    <row r="504" spans="1:21" ht="51">
      <c r="A504" s="6">
        <v>43441.008310185185</v>
      </c>
      <c r="B504" s="7" t="str">
        <f>HYPERLINK("https://twitter.com/DuplaMaria","@DuplaMaria")</f>
        <v>@DuplaMaria</v>
      </c>
      <c r="C504" s="8" t="s">
        <v>1783</v>
      </c>
      <c r="D504" s="9" t="s">
        <v>1784</v>
      </c>
      <c r="E504" s="10" t="str">
        <f>HYPERLINK("https://twitter.com/DuplaMaria/status/1070818158162993152","1070818158162993152")</f>
        <v>1070818158162993152</v>
      </c>
      <c r="F504" s="11"/>
      <c r="G504" s="11"/>
      <c r="H504" s="11"/>
      <c r="I504" s="14">
        <v>1</v>
      </c>
      <c r="J504" s="14">
        <v>4</v>
      </c>
      <c r="K504" s="15" t="str">
        <f>HYPERLINK("http://twitter.com","Twitter Web Client")</f>
        <v>Twitter Web Client</v>
      </c>
      <c r="L504" s="14">
        <v>1268</v>
      </c>
      <c r="M504" s="14">
        <v>211</v>
      </c>
      <c r="N504" s="14">
        <v>4</v>
      </c>
      <c r="O504" s="16"/>
      <c r="P504" s="6">
        <v>42114.73914351852</v>
      </c>
      <c r="Q504" s="12" t="s">
        <v>1785</v>
      </c>
      <c r="R504" s="17" t="s">
        <v>1786</v>
      </c>
      <c r="S504" s="11"/>
      <c r="T504" s="11"/>
      <c r="U504" s="10" t="str">
        <f>HYPERLINK("https://pbs.twimg.com/profile_images/1063379704403628032/GXnUDrxV.jpg","View")</f>
        <v>View</v>
      </c>
    </row>
    <row r="505" spans="1:21" ht="102">
      <c r="A505" s="6">
        <v>43441.004629629635</v>
      </c>
      <c r="B505" s="7" t="str">
        <f>HYPERLINK("https://twitter.com/JubeirC","@JubeirC")</f>
        <v>@JubeirC</v>
      </c>
      <c r="C505" s="8" t="s">
        <v>1788</v>
      </c>
      <c r="D505" s="9" t="s">
        <v>1789</v>
      </c>
      <c r="E505" s="10" t="str">
        <f>HYPERLINK("https://twitter.com/JubeirC/status/1070816826433695744","1070816826433695744")</f>
        <v>1070816826433695744</v>
      </c>
      <c r="F505" s="13" t="s">
        <v>1790</v>
      </c>
      <c r="G505" s="13" t="s">
        <v>1791</v>
      </c>
      <c r="H505" s="11"/>
      <c r="I505" s="14">
        <v>0</v>
      </c>
      <c r="J505" s="14">
        <v>0</v>
      </c>
      <c r="K505" s="15" t="str">
        <f>HYPERLINK("http://twitter.com/download/android","Twitter for Android")</f>
        <v>Twitter for Android</v>
      </c>
      <c r="L505" s="14">
        <v>90</v>
      </c>
      <c r="M505" s="14">
        <v>168</v>
      </c>
      <c r="N505" s="14">
        <v>0</v>
      </c>
      <c r="O505" s="16"/>
      <c r="P505" s="6">
        <v>43418.45893518519</v>
      </c>
      <c r="Q505" s="12" t="s">
        <v>60</v>
      </c>
      <c r="R505" s="17" t="s">
        <v>1792</v>
      </c>
      <c r="S505" s="11"/>
      <c r="T505" s="11"/>
      <c r="U505" s="10" t="str">
        <f>HYPERLINK("https://pbs.twimg.com/profile_images/1067561859199447040/oZtzCzck.jpg","View")</f>
        <v>View</v>
      </c>
    </row>
    <row r="506" spans="1:21" ht="91.8">
      <c r="A506" s="6">
        <v>43441.004571759258</v>
      </c>
      <c r="B506" s="7" t="str">
        <f>HYPERLINK("https://twitter.com/Xisco_cl","@Xisco_cl")</f>
        <v>@Xisco_cl</v>
      </c>
      <c r="C506" s="8" t="s">
        <v>1793</v>
      </c>
      <c r="D506" s="9" t="s">
        <v>1794</v>
      </c>
      <c r="E506" s="10" t="str">
        <f>HYPERLINK("https://twitter.com/Xisco_cl/status/1070816804036075520","1070816804036075520")</f>
        <v>1070816804036075520</v>
      </c>
      <c r="F506" s="13" t="s">
        <v>1795</v>
      </c>
      <c r="G506" s="13" t="s">
        <v>1796</v>
      </c>
      <c r="H506" s="11"/>
      <c r="I506" s="14">
        <v>0</v>
      </c>
      <c r="J506" s="14">
        <v>1</v>
      </c>
      <c r="K506" s="15" t="str">
        <f>HYPERLINK("http://twitter.com/download/iphone","Twitter for iPhone")</f>
        <v>Twitter for iPhone</v>
      </c>
      <c r="L506" s="14">
        <v>366</v>
      </c>
      <c r="M506" s="14">
        <v>380</v>
      </c>
      <c r="N506" s="14">
        <v>2</v>
      </c>
      <c r="O506" s="16"/>
      <c r="P506" s="6">
        <v>41117.660173611112</v>
      </c>
      <c r="Q506" s="12" t="s">
        <v>1658</v>
      </c>
      <c r="R506" s="17" t="s">
        <v>1798</v>
      </c>
      <c r="S506" s="11"/>
      <c r="T506" s="11"/>
      <c r="U506" s="10" t="str">
        <f>HYPERLINK("https://pbs.twimg.com/profile_images/731929890300305408/YOJUHt7n.jpg","View")</f>
        <v>View</v>
      </c>
    </row>
    <row r="507" spans="1:21" ht="30.6">
      <c r="A507" s="6">
        <v>43441.00309027778</v>
      </c>
      <c r="B507" s="7" t="str">
        <f>HYPERLINK("https://twitter.com/lavj1958","@lavj1958")</f>
        <v>@lavj1958</v>
      </c>
      <c r="C507" s="8" t="s">
        <v>2340</v>
      </c>
      <c r="D507" s="9" t="s">
        <v>2341</v>
      </c>
      <c r="E507" s="10" t="str">
        <f>HYPERLINK("https://twitter.com/lavj1958/status/1070816267299381254","1070816267299381254")</f>
        <v>1070816267299381254</v>
      </c>
      <c r="F507" s="13" t="s">
        <v>228</v>
      </c>
      <c r="G507" s="11"/>
      <c r="H507" s="11"/>
      <c r="I507" s="14">
        <v>0</v>
      </c>
      <c r="J507" s="14">
        <v>0</v>
      </c>
      <c r="K507" s="15" t="str">
        <f>HYPERLINK("http://twitter.com/download/android","Twitter for Android")</f>
        <v>Twitter for Android</v>
      </c>
      <c r="L507" s="14">
        <v>1741</v>
      </c>
      <c r="M507" s="14">
        <v>1938</v>
      </c>
      <c r="N507" s="14">
        <v>13</v>
      </c>
      <c r="O507" s="16"/>
      <c r="P507" s="6">
        <v>41790.806666666671</v>
      </c>
      <c r="Q507" s="12" t="s">
        <v>2343</v>
      </c>
      <c r="R507" s="17" t="s">
        <v>2344</v>
      </c>
      <c r="S507" s="11"/>
      <c r="T507" s="11"/>
      <c r="U507" s="10" t="str">
        <f>HYPERLINK("https://pbs.twimg.com/profile_images/476608580192182272/AQYFkFtM.jpeg","View")</f>
        <v>View</v>
      </c>
    </row>
    <row r="508" spans="1:21" ht="61.2">
      <c r="A508" s="6">
        <v>43441.001840277779</v>
      </c>
      <c r="B508" s="7" t="str">
        <f>HYPERLINK("https://twitter.com/disidente87","@disidente87")</f>
        <v>@disidente87</v>
      </c>
      <c r="C508" s="8" t="s">
        <v>1800</v>
      </c>
      <c r="D508" s="9" t="s">
        <v>1801</v>
      </c>
      <c r="E508" s="10" t="str">
        <f>HYPERLINK("https://twitter.com/disidente87/status/1070815813597319169","1070815813597319169")</f>
        <v>1070815813597319169</v>
      </c>
      <c r="F508" s="12" t="s">
        <v>1802</v>
      </c>
      <c r="G508" s="11"/>
      <c r="H508" s="11"/>
      <c r="I508" s="14">
        <v>0</v>
      </c>
      <c r="J508" s="14">
        <v>0</v>
      </c>
      <c r="K508" s="15" t="str">
        <f>HYPERLINK("http://twitter.com","Twitter Web Client")</f>
        <v>Twitter Web Client</v>
      </c>
      <c r="L508" s="14">
        <v>12870</v>
      </c>
      <c r="M508" s="14">
        <v>13811</v>
      </c>
      <c r="N508" s="14">
        <v>91</v>
      </c>
      <c r="O508" s="16"/>
      <c r="P508" s="6">
        <v>40929.837708333333</v>
      </c>
      <c r="Q508" s="12" t="s">
        <v>1803</v>
      </c>
      <c r="R508" s="17" t="s">
        <v>1804</v>
      </c>
      <c r="S508" s="11"/>
      <c r="T508" s="11"/>
      <c r="U508" s="10" t="str">
        <f>HYPERLINK("https://pbs.twimg.com/profile_images/1070244687775232000/JQDPBrmx.jpg","View")</f>
        <v>View</v>
      </c>
    </row>
    <row r="509" spans="1:21" ht="20.399999999999999">
      <c r="A509" s="6">
        <v>43440.995462962965</v>
      </c>
      <c r="B509" s="7" t="str">
        <f>HYPERLINK("https://twitter.com/carmen4366","@carmen4366")</f>
        <v>@carmen4366</v>
      </c>
      <c r="C509" s="8" t="s">
        <v>2346</v>
      </c>
      <c r="D509" s="9" t="s">
        <v>2347</v>
      </c>
      <c r="E509" s="10" t="str">
        <f>HYPERLINK("https://twitter.com/carmen4366/status/1070813504788201473","1070813504788201473")</f>
        <v>1070813504788201473</v>
      </c>
      <c r="F509" s="13" t="s">
        <v>2349</v>
      </c>
      <c r="G509" s="11"/>
      <c r="H509" s="11"/>
      <c r="I509" s="14">
        <v>0</v>
      </c>
      <c r="J509" s="14">
        <v>0</v>
      </c>
      <c r="K509" s="15" t="str">
        <f>HYPERLINK("http://twitter.com/download/android","Twitter for Android")</f>
        <v>Twitter for Android</v>
      </c>
      <c r="L509" s="14">
        <v>887</v>
      </c>
      <c r="M509" s="14">
        <v>1536</v>
      </c>
      <c r="N509" s="14">
        <v>11</v>
      </c>
      <c r="O509" s="16"/>
      <c r="P509" s="6">
        <v>41956.628321759257</v>
      </c>
      <c r="Q509" s="11"/>
      <c r="R509" s="17" t="s">
        <v>2351</v>
      </c>
      <c r="S509" s="11"/>
      <c r="T509" s="11"/>
      <c r="U509" s="10" t="str">
        <f>HYPERLINK("https://pbs.twimg.com/profile_images/574293782142844928/aLQu8foy.jpeg","View")</f>
        <v>View</v>
      </c>
    </row>
    <row r="510" spans="1:21" ht="40.799999999999997">
      <c r="A510" s="6">
        <v>43440.99118055556</v>
      </c>
      <c r="B510" s="7" t="str">
        <f>HYPERLINK("https://twitter.com/cupida21","@cupida21")</f>
        <v>@cupida21</v>
      </c>
      <c r="C510" s="8" t="s">
        <v>1805</v>
      </c>
      <c r="D510" s="9" t="s">
        <v>1806</v>
      </c>
      <c r="E510" s="10" t="str">
        <f>HYPERLINK("https://twitter.com/cupida21/status/1070811952421789697","1070811952421789697")</f>
        <v>1070811952421789697</v>
      </c>
      <c r="F510" s="11"/>
      <c r="G510" s="13" t="s">
        <v>1807</v>
      </c>
      <c r="H510" s="11"/>
      <c r="I510" s="14">
        <v>0</v>
      </c>
      <c r="J510" s="14">
        <v>0</v>
      </c>
      <c r="K510" s="15" t="str">
        <f t="shared" ref="K510:K511" si="93">HYPERLINK("http://twitter.com/download/iphone","Twitter for iPhone")</f>
        <v>Twitter for iPhone</v>
      </c>
      <c r="L510" s="14">
        <v>207</v>
      </c>
      <c r="M510" s="14">
        <v>68</v>
      </c>
      <c r="N510" s="14">
        <v>0</v>
      </c>
      <c r="O510" s="16"/>
      <c r="P510" s="6">
        <v>40685.790081018517</v>
      </c>
      <c r="Q510" s="12" t="s">
        <v>1808</v>
      </c>
      <c r="R510" s="17" t="s">
        <v>1809</v>
      </c>
      <c r="S510" s="11"/>
      <c r="T510" s="11"/>
      <c r="U510" s="10" t="str">
        <f>HYPERLINK("https://pbs.twimg.com/profile_images/996141898376073216/lPFtM-gc.jpg","View")</f>
        <v>View</v>
      </c>
    </row>
    <row r="511" spans="1:21" ht="71.400000000000006">
      <c r="A511" s="6">
        <v>43440.989930555559</v>
      </c>
      <c r="B511" s="7" t="str">
        <f>HYPERLINK("https://twitter.com/MagdaQR","@MagdaQR")</f>
        <v>@MagdaQR</v>
      </c>
      <c r="C511" s="8" t="s">
        <v>1810</v>
      </c>
      <c r="D511" s="9" t="s">
        <v>1811</v>
      </c>
      <c r="E511" s="10" t="str">
        <f>HYPERLINK("https://twitter.com/MagdaQR/status/1070811496005992449","1070811496005992449")</f>
        <v>1070811496005992449</v>
      </c>
      <c r="F511" s="12" t="s">
        <v>1812</v>
      </c>
      <c r="G511" s="11"/>
      <c r="H511" s="11"/>
      <c r="I511" s="14">
        <v>0</v>
      </c>
      <c r="J511" s="14">
        <v>0</v>
      </c>
      <c r="K511" s="15" t="str">
        <f t="shared" si="93"/>
        <v>Twitter for iPhone</v>
      </c>
      <c r="L511" s="14">
        <v>183</v>
      </c>
      <c r="M511" s="14">
        <v>425</v>
      </c>
      <c r="N511" s="14">
        <v>9</v>
      </c>
      <c r="O511" s="16"/>
      <c r="P511" s="6">
        <v>41292.960891203707</v>
      </c>
      <c r="Q511" s="11"/>
      <c r="R511" s="17" t="s">
        <v>1813</v>
      </c>
      <c r="S511" s="11"/>
      <c r="T511" s="11"/>
      <c r="U511" s="10" t="str">
        <f>HYPERLINK("https://pbs.twimg.com/profile_images/1017165496280666112/YVBuLPNe.jpg","View")</f>
        <v>View</v>
      </c>
    </row>
    <row r="512" spans="1:21" ht="40.799999999999997">
      <c r="A512" s="6">
        <v>43440.982222222221</v>
      </c>
      <c r="B512" s="7" t="str">
        <f>HYPERLINK("https://twitter.com/migupelo2","@migupelo2")</f>
        <v>@migupelo2</v>
      </c>
      <c r="C512" s="8" t="s">
        <v>907</v>
      </c>
      <c r="D512" s="9" t="s">
        <v>1814</v>
      </c>
      <c r="E512" s="10" t="str">
        <f>HYPERLINK("https://twitter.com/migupelo2/status/1070808706512838656","1070808706512838656")</f>
        <v>1070808706512838656</v>
      </c>
      <c r="F512" s="13" t="s">
        <v>1815</v>
      </c>
      <c r="G512" s="11"/>
      <c r="H512" s="11"/>
      <c r="I512" s="14">
        <v>0</v>
      </c>
      <c r="J512" s="14">
        <v>0</v>
      </c>
      <c r="K512" s="15" t="str">
        <f>HYPERLINK("http://twitter.com","Twitter Web Client")</f>
        <v>Twitter Web Client</v>
      </c>
      <c r="L512" s="14">
        <v>266</v>
      </c>
      <c r="M512" s="14">
        <v>771</v>
      </c>
      <c r="N512" s="14">
        <v>18</v>
      </c>
      <c r="O512" s="16"/>
      <c r="P512" s="6">
        <v>40477.868043981478</v>
      </c>
      <c r="Q512" s="11"/>
      <c r="R512" s="17" t="s">
        <v>914</v>
      </c>
      <c r="S512" s="11"/>
      <c r="T512" s="11"/>
      <c r="U512" s="10" t="str">
        <f>HYPERLINK("https://pbs.twimg.com/profile_images/2906316440/4ed1570f50fd6f70f1b28d458997dd81.jpeg","View")</f>
        <v>View</v>
      </c>
    </row>
    <row r="513" spans="1:21" ht="30.6">
      <c r="A513" s="6">
        <v>43440.979166666672</v>
      </c>
      <c r="B513" s="7" t="str">
        <f>HYPERLINK("https://twitter.com/GaliciaMundiari","@GaliciaMundiari")</f>
        <v>@GaliciaMundiari</v>
      </c>
      <c r="C513" s="8" t="s">
        <v>2363</v>
      </c>
      <c r="D513" s="9" t="s">
        <v>2364</v>
      </c>
      <c r="E513" s="10" t="str">
        <f>HYPERLINK("https://twitter.com/GaliciaMundiari/status/1070807596699799557","1070807596699799557")</f>
        <v>1070807596699799557</v>
      </c>
      <c r="F513" s="13" t="s">
        <v>2365</v>
      </c>
      <c r="G513" s="11"/>
      <c r="H513" s="11"/>
      <c r="I513" s="14">
        <v>0</v>
      </c>
      <c r="J513" s="14">
        <v>0</v>
      </c>
      <c r="K513" s="15" t="str">
        <f>HYPERLINK("https://about.twitter.com/products/tweetdeck","TweetDeck")</f>
        <v>TweetDeck</v>
      </c>
      <c r="L513" s="14">
        <v>731</v>
      </c>
      <c r="M513" s="14">
        <v>1487</v>
      </c>
      <c r="N513" s="14">
        <v>31</v>
      </c>
      <c r="O513" s="16"/>
      <c r="P513" s="6">
        <v>41311.572812500002</v>
      </c>
      <c r="Q513" s="12" t="s">
        <v>2366</v>
      </c>
      <c r="R513" s="17" t="s">
        <v>2367</v>
      </c>
      <c r="S513" s="13" t="s">
        <v>2368</v>
      </c>
      <c r="T513" s="11"/>
      <c r="U513" s="10" t="str">
        <f>HYPERLINK("https://pbs.twimg.com/profile_images/983440522390929408/Q4V9I05R.jpg","View")</f>
        <v>View</v>
      </c>
    </row>
    <row r="514" spans="1:21" ht="61.2">
      <c r="A514" s="6">
        <v>43440.979039351849</v>
      </c>
      <c r="B514" s="7" t="str">
        <f>HYPERLINK("https://twitter.com/azv566","@azv566")</f>
        <v>@azv566</v>
      </c>
      <c r="C514" s="8" t="s">
        <v>1816</v>
      </c>
      <c r="D514" s="9" t="s">
        <v>1817</v>
      </c>
      <c r="E514" s="10" t="str">
        <f>HYPERLINK("https://twitter.com/azv566/status/1070807550499672070","1070807550499672070")</f>
        <v>1070807550499672070</v>
      </c>
      <c r="F514" s="12" t="s">
        <v>1818</v>
      </c>
      <c r="G514" s="11"/>
      <c r="H514" s="11"/>
      <c r="I514" s="14">
        <v>4</v>
      </c>
      <c r="J514" s="14">
        <v>4</v>
      </c>
      <c r="K514" s="15" t="str">
        <f>HYPERLINK("http://twitter.com/#!/download/ipad","Twitter for iPad")</f>
        <v>Twitter for iPad</v>
      </c>
      <c r="L514" s="14">
        <v>373</v>
      </c>
      <c r="M514" s="14">
        <v>268</v>
      </c>
      <c r="N514" s="14">
        <v>12</v>
      </c>
      <c r="O514" s="16"/>
      <c r="P514" s="6">
        <v>41462.084224537037</v>
      </c>
      <c r="Q514" s="11"/>
      <c r="R514" s="17" t="s">
        <v>1819</v>
      </c>
      <c r="S514" s="11"/>
      <c r="T514" s="11"/>
      <c r="U514" s="10" t="str">
        <f>HYPERLINK("https://pbs.twimg.com/profile_images/897839568640192512/r7-wILXv.jpg","View")</f>
        <v>View</v>
      </c>
    </row>
    <row r="515" spans="1:21" ht="51">
      <c r="A515" s="6">
        <v>43440.9762037037</v>
      </c>
      <c r="B515" s="7" t="str">
        <f>HYPERLINK("https://twitter.com/JC_C_A","@JC_C_A")</f>
        <v>@JC_C_A</v>
      </c>
      <c r="C515" s="8" t="s">
        <v>1651</v>
      </c>
      <c r="D515" s="9" t="s">
        <v>2371</v>
      </c>
      <c r="E515" s="10" t="str">
        <f>HYPERLINK("https://twitter.com/JC_C_A/status/1070806524853936128","1070806524853936128")</f>
        <v>1070806524853936128</v>
      </c>
      <c r="F515" s="11"/>
      <c r="G515" s="11"/>
      <c r="H515" s="11"/>
      <c r="I515" s="14">
        <v>1</v>
      </c>
      <c r="J515" s="14">
        <v>1</v>
      </c>
      <c r="K515" s="15" t="str">
        <f>HYPERLINK("http://twitter.com/download/android","Twitter for Android")</f>
        <v>Twitter for Android</v>
      </c>
      <c r="L515" s="14">
        <v>1535</v>
      </c>
      <c r="M515" s="14">
        <v>1285</v>
      </c>
      <c r="N515" s="14">
        <v>4</v>
      </c>
      <c r="O515" s="16"/>
      <c r="P515" s="6">
        <v>43055.93885416667</v>
      </c>
      <c r="Q515" s="12" t="s">
        <v>1655</v>
      </c>
      <c r="R515" s="17" t="s">
        <v>1656</v>
      </c>
      <c r="S515" s="11"/>
      <c r="T515" s="11"/>
      <c r="U515" s="10" t="str">
        <f>HYPERLINK("https://pbs.twimg.com/profile_images/1029775179520647169/gj_YgLkP.jpg","View")</f>
        <v>View</v>
      </c>
    </row>
    <row r="516" spans="1:21" ht="102">
      <c r="A516" s="6">
        <v>43440.970763888894</v>
      </c>
      <c r="B516" s="7" t="str">
        <f>HYPERLINK("https://twitter.com/red616wifi","@red616wifi")</f>
        <v>@red616wifi</v>
      </c>
      <c r="C516" s="8" t="s">
        <v>1820</v>
      </c>
      <c r="D516" s="9" t="s">
        <v>1821</v>
      </c>
      <c r="E516" s="10" t="str">
        <f>HYPERLINK("https://twitter.com/red616wifi/status/1070804553543663617","1070804553543663617")</f>
        <v>1070804553543663617</v>
      </c>
      <c r="F516" s="13" t="s">
        <v>1822</v>
      </c>
      <c r="G516" s="13" t="s">
        <v>1823</v>
      </c>
      <c r="H516" s="11"/>
      <c r="I516" s="14">
        <v>0</v>
      </c>
      <c r="J516" s="14">
        <v>0</v>
      </c>
      <c r="K516" s="15" t="str">
        <f>HYPERLINK("http://twitter.com/download/iphone","Twitter for iPhone")</f>
        <v>Twitter for iPhone</v>
      </c>
      <c r="L516" s="14">
        <v>126</v>
      </c>
      <c r="M516" s="14">
        <v>1330</v>
      </c>
      <c r="N516" s="14">
        <v>1</v>
      </c>
      <c r="O516" s="16"/>
      <c r="P516" s="6">
        <v>39478.51697916667</v>
      </c>
      <c r="Q516" s="12" t="s">
        <v>1824</v>
      </c>
      <c r="R516" s="17" t="s">
        <v>1825</v>
      </c>
      <c r="S516" s="11"/>
      <c r="T516" s="11"/>
      <c r="U516" s="10" t="str">
        <f>HYPERLINK("https://pbs.twimg.com/profile_images/2195396593/madmen_icon_01.jpg","View")</f>
        <v>View</v>
      </c>
    </row>
    <row r="517" spans="1:21" ht="40.799999999999997">
      <c r="A517" s="6">
        <v>43440.965011574073</v>
      </c>
      <c r="B517" s="7" t="str">
        <f t="shared" ref="B517:B518" si="94">HYPERLINK("https://twitter.com/falcarazfer","@falcarazfer")</f>
        <v>@falcarazfer</v>
      </c>
      <c r="C517" s="8" t="s">
        <v>2379</v>
      </c>
      <c r="D517" s="9" t="s">
        <v>2380</v>
      </c>
      <c r="E517" s="10" t="str">
        <f>HYPERLINK("https://twitter.com/falcarazfer/status/1070802465715572741","1070802465715572741")</f>
        <v>1070802465715572741</v>
      </c>
      <c r="F517" s="13" t="s">
        <v>2381</v>
      </c>
      <c r="G517" s="11"/>
      <c r="H517" s="11"/>
      <c r="I517" s="14">
        <v>0</v>
      </c>
      <c r="J517" s="14">
        <v>0</v>
      </c>
      <c r="K517" s="15" t="str">
        <f t="shared" ref="K517:K518" si="95">HYPERLINK("http://twitter.com","Twitter Web Client")</f>
        <v>Twitter Web Client</v>
      </c>
      <c r="L517" s="14">
        <v>3537</v>
      </c>
      <c r="M517" s="14">
        <v>3498</v>
      </c>
      <c r="N517" s="14">
        <v>52</v>
      </c>
      <c r="O517" s="16"/>
      <c r="P517" s="6">
        <v>41687.861030092594</v>
      </c>
      <c r="Q517" s="11"/>
      <c r="R517" s="17" t="s">
        <v>2382</v>
      </c>
      <c r="S517" s="11"/>
      <c r="T517" s="11"/>
      <c r="U517" s="10" t="str">
        <f t="shared" ref="U517:U518" si="96">HYPERLINK("https://pbs.twimg.com/profile_images/459014754648879105/Dt4Ki-pT.png","View")</f>
        <v>View</v>
      </c>
    </row>
    <row r="518" spans="1:21" ht="40.799999999999997">
      <c r="A518" s="6">
        <v>43440.96471064815</v>
      </c>
      <c r="B518" s="7" t="str">
        <f t="shared" si="94"/>
        <v>@falcarazfer</v>
      </c>
      <c r="C518" s="8" t="s">
        <v>2379</v>
      </c>
      <c r="D518" s="9" t="s">
        <v>2385</v>
      </c>
      <c r="E518" s="10" t="str">
        <f>HYPERLINK("https://twitter.com/falcarazfer/status/1070802359238967301","1070802359238967301")</f>
        <v>1070802359238967301</v>
      </c>
      <c r="F518" s="13" t="s">
        <v>2386</v>
      </c>
      <c r="G518" s="11"/>
      <c r="H518" s="11"/>
      <c r="I518" s="14">
        <v>0</v>
      </c>
      <c r="J518" s="14">
        <v>0</v>
      </c>
      <c r="K518" s="15" t="str">
        <f t="shared" si="95"/>
        <v>Twitter Web Client</v>
      </c>
      <c r="L518" s="14">
        <v>3537</v>
      </c>
      <c r="M518" s="14">
        <v>3498</v>
      </c>
      <c r="N518" s="14">
        <v>52</v>
      </c>
      <c r="O518" s="16"/>
      <c r="P518" s="6">
        <v>41687.861030092594</v>
      </c>
      <c r="Q518" s="11"/>
      <c r="R518" s="17" t="s">
        <v>2382</v>
      </c>
      <c r="S518" s="11"/>
      <c r="T518" s="11"/>
      <c r="U518" s="10" t="str">
        <f t="shared" si="96"/>
        <v>View</v>
      </c>
    </row>
    <row r="519" spans="1:21" ht="40.799999999999997">
      <c r="A519" s="6">
        <v>43440.964687500003</v>
      </c>
      <c r="B519" s="7" t="str">
        <f>HYPERLINK("https://twitter.com/rgl1970","@rgl1970")</f>
        <v>@rgl1970</v>
      </c>
      <c r="C519" s="8" t="s">
        <v>1826</v>
      </c>
      <c r="D519" s="9" t="s">
        <v>1827</v>
      </c>
      <c r="E519" s="10" t="str">
        <f>HYPERLINK("https://twitter.com/rgl1970/status/1070802352016449536","1070802352016449536")</f>
        <v>1070802352016449536</v>
      </c>
      <c r="F519" s="11"/>
      <c r="G519" s="13" t="s">
        <v>1830</v>
      </c>
      <c r="H519" s="11"/>
      <c r="I519" s="14">
        <v>5</v>
      </c>
      <c r="J519" s="14">
        <v>5</v>
      </c>
      <c r="K519" s="15" t="str">
        <f>HYPERLINK("http://twitter.com/download/android","Twitter for Android")</f>
        <v>Twitter for Android</v>
      </c>
      <c r="L519" s="14">
        <v>2414</v>
      </c>
      <c r="M519" s="14">
        <v>2833</v>
      </c>
      <c r="N519" s="14">
        <v>19</v>
      </c>
      <c r="O519" s="16"/>
      <c r="P519" s="6">
        <v>41801.661747685182</v>
      </c>
      <c r="Q519" s="11"/>
      <c r="R519" s="17" t="s">
        <v>1831</v>
      </c>
      <c r="S519" s="11"/>
      <c r="T519" s="11"/>
      <c r="U519" s="10" t="str">
        <f>HYPERLINK("https://pbs.twimg.com/profile_images/1008752873096826880/ZxAKGMgA.jpg","View")</f>
        <v>View</v>
      </c>
    </row>
    <row r="520" spans="1:21" ht="81.599999999999994">
      <c r="A520" s="6">
        <v>43440.961319444439</v>
      </c>
      <c r="B520" s="7" t="str">
        <f>HYPERLINK("https://twitter.com/FG72373327","@FG72373327")</f>
        <v>@FG72373327</v>
      </c>
      <c r="C520" s="8" t="s">
        <v>1229</v>
      </c>
      <c r="D520" s="9" t="s">
        <v>1832</v>
      </c>
      <c r="E520" s="10" t="str">
        <f>HYPERLINK("https://twitter.com/FG72373327/status/1070801130123227136","1070801130123227136")</f>
        <v>1070801130123227136</v>
      </c>
      <c r="F520" s="13" t="s">
        <v>1834</v>
      </c>
      <c r="G520" s="13" t="s">
        <v>1835</v>
      </c>
      <c r="H520" s="11"/>
      <c r="I520" s="14">
        <v>0</v>
      </c>
      <c r="J520" s="14">
        <v>0</v>
      </c>
      <c r="K520" s="15" t="str">
        <f>HYPERLINK("http://twitter.com/download/iphone","Twitter for iPhone")</f>
        <v>Twitter for iPhone</v>
      </c>
      <c r="L520" s="14">
        <v>888</v>
      </c>
      <c r="M520" s="14">
        <v>926</v>
      </c>
      <c r="N520" s="14">
        <v>6</v>
      </c>
      <c r="O520" s="16"/>
      <c r="P520" s="6">
        <v>42977.396006944444</v>
      </c>
      <c r="Q520" s="12" t="s">
        <v>60</v>
      </c>
      <c r="R520" s="18"/>
      <c r="S520" s="11"/>
      <c r="T520" s="11"/>
      <c r="U520" s="10" t="str">
        <f>HYPERLINK("https://pbs.twimg.com/profile_images/902802729009111040/RUuGyEn7.jpg","View")</f>
        <v>View</v>
      </c>
    </row>
    <row r="521" spans="1:21" ht="20.399999999999999">
      <c r="A521" s="6">
        <v>43440.96125</v>
      </c>
      <c r="B521" s="7" t="str">
        <f>HYPERLINK("https://twitter.com/matheusfarias_","@matheusfarias_")</f>
        <v>@matheusfarias_</v>
      </c>
      <c r="C521" s="8" t="s">
        <v>2393</v>
      </c>
      <c r="D521" s="9" t="s">
        <v>225</v>
      </c>
      <c r="E521" s="10" t="str">
        <f>HYPERLINK("https://twitter.com/matheusfarias_/status/1070801103644700672","1070801103644700672")</f>
        <v>1070801103644700672</v>
      </c>
      <c r="F521" s="13" t="s">
        <v>228</v>
      </c>
      <c r="G521" s="11"/>
      <c r="H521" s="11"/>
      <c r="I521" s="14">
        <v>0</v>
      </c>
      <c r="J521" s="14">
        <v>0</v>
      </c>
      <c r="K521" s="15" t="str">
        <f t="shared" ref="K521:K522" si="97">HYPERLINK("http://twitter.com/download/android","Twitter for Android")</f>
        <v>Twitter for Android</v>
      </c>
      <c r="L521" s="14">
        <v>520</v>
      </c>
      <c r="M521" s="14">
        <v>805</v>
      </c>
      <c r="N521" s="14">
        <v>20</v>
      </c>
      <c r="O521" s="16"/>
      <c r="P521" s="6">
        <v>39666.728958333333</v>
      </c>
      <c r="Q521" s="12" t="s">
        <v>2394</v>
      </c>
      <c r="R521" s="17" t="s">
        <v>2395</v>
      </c>
      <c r="S521" s="11"/>
      <c r="T521" s="11"/>
      <c r="U521" s="10" t="str">
        <f>HYPERLINK("https://pbs.twimg.com/profile_images/728351101616062465/VJX7_t63.jpg","View")</f>
        <v>View</v>
      </c>
    </row>
    <row r="522" spans="1:21" ht="51">
      <c r="A522" s="6">
        <v>43440.959756944445</v>
      </c>
      <c r="B522" s="7" t="str">
        <f>HYPERLINK("https://twitter.com/inmalsantos","@inmalsantos")</f>
        <v>@inmalsantos</v>
      </c>
      <c r="C522" s="8" t="s">
        <v>1836</v>
      </c>
      <c r="D522" s="9" t="s">
        <v>1837</v>
      </c>
      <c r="E522" s="10" t="str">
        <f>HYPERLINK("https://twitter.com/inmalsantos/status/1070800562088742912","1070800562088742912")</f>
        <v>1070800562088742912</v>
      </c>
      <c r="F522" s="13" t="s">
        <v>1838</v>
      </c>
      <c r="G522" s="11"/>
      <c r="H522" s="11"/>
      <c r="I522" s="14">
        <v>1</v>
      </c>
      <c r="J522" s="14">
        <v>0</v>
      </c>
      <c r="K522" s="15" t="str">
        <f t="shared" si="97"/>
        <v>Twitter for Android</v>
      </c>
      <c r="L522" s="14">
        <v>223</v>
      </c>
      <c r="M522" s="14">
        <v>917</v>
      </c>
      <c r="N522" s="14">
        <v>0</v>
      </c>
      <c r="O522" s="16"/>
      <c r="P522" s="6">
        <v>41345.533634259264</v>
      </c>
      <c r="Q522" s="12" t="s">
        <v>137</v>
      </c>
      <c r="R522" s="17" t="s">
        <v>1839</v>
      </c>
      <c r="S522" s="11"/>
      <c r="T522" s="11"/>
      <c r="U522" s="19" t="s">
        <v>629</v>
      </c>
    </row>
    <row r="523" spans="1:21" ht="51">
      <c r="A523" s="6">
        <v>43440.959456018521</v>
      </c>
      <c r="B523" s="7" t="str">
        <f>HYPERLINK("https://twitter.com/joseluisportela","@joseluisportela")</f>
        <v>@joseluisportela</v>
      </c>
      <c r="C523" s="8" t="s">
        <v>2399</v>
      </c>
      <c r="D523" s="9" t="s">
        <v>2400</v>
      </c>
      <c r="E523" s="10" t="str">
        <f>HYPERLINK("https://twitter.com/joseluisportela/status/1070800455385653249","1070800455385653249")</f>
        <v>1070800455385653249</v>
      </c>
      <c r="F523" s="11"/>
      <c r="G523" s="11"/>
      <c r="H523" s="11"/>
      <c r="I523" s="14">
        <v>1</v>
      </c>
      <c r="J523" s="14">
        <v>6</v>
      </c>
      <c r="K523" s="15" t="str">
        <f t="shared" ref="K523:K524" si="98">HYPERLINK("http://twitter.com","Twitter Web Client")</f>
        <v>Twitter Web Client</v>
      </c>
      <c r="L523" s="14">
        <v>8490</v>
      </c>
      <c r="M523" s="14">
        <v>7893</v>
      </c>
      <c r="N523" s="14">
        <v>182</v>
      </c>
      <c r="O523" s="16"/>
      <c r="P523" s="6">
        <v>39832.000868055555</v>
      </c>
      <c r="Q523" s="12" t="s">
        <v>119</v>
      </c>
      <c r="R523" s="17" t="s">
        <v>2402</v>
      </c>
      <c r="S523" s="13" t="s">
        <v>2403</v>
      </c>
      <c r="T523" s="11"/>
      <c r="U523" s="10" t="str">
        <f>HYPERLINK("https://pbs.twimg.com/profile_images/1047032897515991043/zzGkNeyX.jpg","View")</f>
        <v>View</v>
      </c>
    </row>
    <row r="524" spans="1:21" ht="30.6">
      <c r="A524" s="6">
        <v>43440.958622685182</v>
      </c>
      <c r="B524" s="7" t="str">
        <f>HYPERLINK("https://twitter.com/Sokreter","@Sokreter")</f>
        <v>@Sokreter</v>
      </c>
      <c r="C524" s="8" t="s">
        <v>1840</v>
      </c>
      <c r="D524" s="9" t="s">
        <v>1841</v>
      </c>
      <c r="E524" s="10" t="str">
        <f>HYPERLINK("https://twitter.com/Sokreter/status/1070800151139225605","1070800151139225605")</f>
        <v>1070800151139225605</v>
      </c>
      <c r="F524" s="13" t="s">
        <v>1842</v>
      </c>
      <c r="G524" s="11"/>
      <c r="H524" s="11"/>
      <c r="I524" s="14">
        <v>0</v>
      </c>
      <c r="J524" s="14">
        <v>0</v>
      </c>
      <c r="K524" s="15" t="str">
        <f t="shared" si="98"/>
        <v>Twitter Web Client</v>
      </c>
      <c r="L524" s="14">
        <v>1069</v>
      </c>
      <c r="M524" s="14">
        <v>507</v>
      </c>
      <c r="N524" s="14">
        <v>35</v>
      </c>
      <c r="O524" s="16"/>
      <c r="P524" s="6">
        <v>40301.880590277782</v>
      </c>
      <c r="Q524" s="12" t="s">
        <v>83</v>
      </c>
      <c r="R524" s="17" t="s">
        <v>1843</v>
      </c>
      <c r="S524" s="13" t="s">
        <v>1844</v>
      </c>
      <c r="T524" s="11"/>
      <c r="U524" s="10" t="str">
        <f>HYPERLINK("https://pbs.twimg.com/profile_images/1036292775531225088/edRzZ8dD.jpg","View")</f>
        <v>View</v>
      </c>
    </row>
    <row r="525" spans="1:21" ht="51">
      <c r="A525" s="6">
        <v>43440.958344907413</v>
      </c>
      <c r="B525" s="7" t="str">
        <f>HYPERLINK("https://twitter.com/Cs_Asturias","@Cs_Asturias")</f>
        <v>@Cs_Asturias</v>
      </c>
      <c r="C525" s="8" t="s">
        <v>1845</v>
      </c>
      <c r="D525" s="9" t="s">
        <v>1846</v>
      </c>
      <c r="E525" s="10" t="str">
        <f>HYPERLINK("https://twitter.com/Cs_Asturias/status/1070800049716641792","1070800049716641792")</f>
        <v>1070800049716641792</v>
      </c>
      <c r="F525" s="11"/>
      <c r="G525" s="13" t="s">
        <v>1847</v>
      </c>
      <c r="H525" s="11"/>
      <c r="I525" s="14">
        <v>6</v>
      </c>
      <c r="J525" s="14">
        <v>7</v>
      </c>
      <c r="K525" s="15" t="str">
        <f>HYPERLINK("https://studio.twitter.com","Twitter Media Studio")</f>
        <v>Twitter Media Studio</v>
      </c>
      <c r="L525" s="14">
        <v>5720</v>
      </c>
      <c r="M525" s="14">
        <v>1485</v>
      </c>
      <c r="N525" s="14">
        <v>98</v>
      </c>
      <c r="O525" s="19" t="s">
        <v>42</v>
      </c>
      <c r="P525" s="6">
        <v>41704.560023148151</v>
      </c>
      <c r="Q525" s="11"/>
      <c r="R525" s="17" t="s">
        <v>1848</v>
      </c>
      <c r="S525" s="13" t="s">
        <v>822</v>
      </c>
      <c r="T525" s="11"/>
      <c r="U525" s="10" t="str">
        <f>HYPERLINK("https://pbs.twimg.com/profile_images/1053409692960075776/pqztNRjY.jpg","View")</f>
        <v>View</v>
      </c>
    </row>
    <row r="526" spans="1:21" ht="40.799999999999997">
      <c r="A526" s="6">
        <v>43440.956631944442</v>
      </c>
      <c r="B526" s="7" t="str">
        <f>HYPERLINK("https://twitter.com/migupelo2","@migupelo2")</f>
        <v>@migupelo2</v>
      </c>
      <c r="C526" s="8" t="s">
        <v>907</v>
      </c>
      <c r="D526" s="9" t="s">
        <v>1849</v>
      </c>
      <c r="E526" s="10" t="str">
        <f>HYPERLINK("https://twitter.com/migupelo2/status/1070799432986316806","1070799432986316806")</f>
        <v>1070799432986316806</v>
      </c>
      <c r="F526" s="13" t="s">
        <v>1850</v>
      </c>
      <c r="G526" s="11"/>
      <c r="H526" s="11"/>
      <c r="I526" s="14">
        <v>0</v>
      </c>
      <c r="J526" s="14">
        <v>0</v>
      </c>
      <c r="K526" s="15" t="str">
        <f t="shared" ref="K526:K527" si="99">HYPERLINK("http://twitter.com","Twitter Web Client")</f>
        <v>Twitter Web Client</v>
      </c>
      <c r="L526" s="14">
        <v>266</v>
      </c>
      <c r="M526" s="14">
        <v>771</v>
      </c>
      <c r="N526" s="14">
        <v>18</v>
      </c>
      <c r="O526" s="16"/>
      <c r="P526" s="6">
        <v>40477.868043981478</v>
      </c>
      <c r="Q526" s="11"/>
      <c r="R526" s="17" t="s">
        <v>914</v>
      </c>
      <c r="S526" s="11"/>
      <c r="T526" s="11"/>
      <c r="U526" s="10" t="str">
        <f>HYPERLINK("https://pbs.twimg.com/profile_images/2906316440/4ed1570f50fd6f70f1b28d458997dd81.jpeg","View")</f>
        <v>View</v>
      </c>
    </row>
    <row r="527" spans="1:21" ht="40.799999999999997">
      <c r="A527" s="6">
        <v>43440.954062500001</v>
      </c>
      <c r="B527" s="7" t="str">
        <f>HYPERLINK("https://twitter.com/falcarazfer","@falcarazfer")</f>
        <v>@falcarazfer</v>
      </c>
      <c r="C527" s="8" t="s">
        <v>2379</v>
      </c>
      <c r="D527" s="9" t="s">
        <v>2411</v>
      </c>
      <c r="E527" s="10" t="str">
        <f>HYPERLINK("https://twitter.com/falcarazfer/status/1070798500785467393","1070798500785467393")</f>
        <v>1070798500785467393</v>
      </c>
      <c r="F527" s="13" t="s">
        <v>2413</v>
      </c>
      <c r="G527" s="11"/>
      <c r="H527" s="11"/>
      <c r="I527" s="14">
        <v>0</v>
      </c>
      <c r="J527" s="14">
        <v>0</v>
      </c>
      <c r="K527" s="15" t="str">
        <f t="shared" si="99"/>
        <v>Twitter Web Client</v>
      </c>
      <c r="L527" s="14">
        <v>3537</v>
      </c>
      <c r="M527" s="14">
        <v>3498</v>
      </c>
      <c r="N527" s="14">
        <v>52</v>
      </c>
      <c r="O527" s="16"/>
      <c r="P527" s="6">
        <v>41687.861030092594</v>
      </c>
      <c r="Q527" s="11"/>
      <c r="R527" s="17" t="s">
        <v>2382</v>
      </c>
      <c r="S527" s="11"/>
      <c r="T527" s="11"/>
      <c r="U527" s="10" t="str">
        <f>HYPERLINK("https://pbs.twimg.com/profile_images/459014754648879105/Dt4Ki-pT.png","View")</f>
        <v>View</v>
      </c>
    </row>
    <row r="528" spans="1:21" ht="40.799999999999997">
      <c r="A528" s="6">
        <v>43440.953576388885</v>
      </c>
      <c r="B528" s="7" t="str">
        <f>HYPERLINK("https://twitter.com/CharlesAblett","@CharlesAblett")</f>
        <v>@CharlesAblett</v>
      </c>
      <c r="C528" s="8" t="s">
        <v>2414</v>
      </c>
      <c r="D528" s="9" t="s">
        <v>2415</v>
      </c>
      <c r="E528" s="10" t="str">
        <f>HYPERLINK("https://twitter.com/CharlesAblett/status/1070798325505581057","1070798325505581057")</f>
        <v>1070798325505581057</v>
      </c>
      <c r="F528" s="13" t="s">
        <v>2095</v>
      </c>
      <c r="G528" s="11"/>
      <c r="H528" s="11"/>
      <c r="I528" s="14">
        <v>0</v>
      </c>
      <c r="J528" s="14">
        <v>1</v>
      </c>
      <c r="K528" s="15" t="str">
        <f>HYPERLINK("http://twitter.com/#!/download/ipad","Twitter for iPad")</f>
        <v>Twitter for iPad</v>
      </c>
      <c r="L528" s="14">
        <v>1934</v>
      </c>
      <c r="M528" s="14">
        <v>1580</v>
      </c>
      <c r="N528" s="14">
        <v>28</v>
      </c>
      <c r="O528" s="16"/>
      <c r="P528" s="6">
        <v>39884.6253125</v>
      </c>
      <c r="Q528" s="12" t="s">
        <v>2416</v>
      </c>
      <c r="R528" s="17" t="s">
        <v>2417</v>
      </c>
      <c r="S528" s="11"/>
      <c r="T528" s="11"/>
      <c r="U528" s="10" t="str">
        <f>HYPERLINK("https://pbs.twimg.com/profile_images/652009803200524288/JPAzjI2q.jpg","View")</f>
        <v>View</v>
      </c>
    </row>
    <row r="529" spans="1:21" ht="40.799999999999997">
      <c r="A529" s="6">
        <v>43440.951736111107</v>
      </c>
      <c r="B529" s="7" t="str">
        <f>HYPERLINK("https://twitter.com/algonmar","@algonmar")</f>
        <v>@algonmar</v>
      </c>
      <c r="C529" s="8" t="s">
        <v>2420</v>
      </c>
      <c r="D529" s="9" t="s">
        <v>2421</v>
      </c>
      <c r="E529" s="10" t="str">
        <f>HYPERLINK("https://twitter.com/algonmar/status/1070797655830343685","1070797655830343685")</f>
        <v>1070797655830343685</v>
      </c>
      <c r="F529" s="13" t="s">
        <v>2095</v>
      </c>
      <c r="G529" s="11"/>
      <c r="H529" s="11"/>
      <c r="I529" s="14">
        <v>0</v>
      </c>
      <c r="J529" s="14">
        <v>0</v>
      </c>
      <c r="K529" s="15" t="str">
        <f>HYPERLINK("http://twitter.com/download/iphone","Twitter for iPhone")</f>
        <v>Twitter for iPhone</v>
      </c>
      <c r="L529" s="14">
        <v>1746</v>
      </c>
      <c r="M529" s="14">
        <v>4895</v>
      </c>
      <c r="N529" s="14">
        <v>39</v>
      </c>
      <c r="O529" s="16"/>
      <c r="P529" s="6">
        <v>40203.941504629627</v>
      </c>
      <c r="Q529" s="12" t="s">
        <v>2425</v>
      </c>
      <c r="R529" s="17" t="s">
        <v>2426</v>
      </c>
      <c r="S529" s="13" t="s">
        <v>2427</v>
      </c>
      <c r="T529" s="11"/>
      <c r="U529" s="10" t="str">
        <f>HYPERLINK("https://pbs.twimg.com/profile_images/470283269993283584/jF_X5Z_m.jpeg","View")</f>
        <v>View</v>
      </c>
    </row>
    <row r="530" spans="1:21" ht="51">
      <c r="A530" s="6">
        <v>43440.949513888889</v>
      </c>
      <c r="B530" s="7" t="str">
        <f>HYPERLINK("https://twitter.com/GalegoLobo","@GalegoLobo")</f>
        <v>@GalegoLobo</v>
      </c>
      <c r="C530" s="8" t="s">
        <v>1854</v>
      </c>
      <c r="D530" s="9" t="s">
        <v>1855</v>
      </c>
      <c r="E530" s="10" t="str">
        <f>HYPERLINK("https://twitter.com/GalegoLobo/status/1070796852373671936","1070796852373671936")</f>
        <v>1070796852373671936</v>
      </c>
      <c r="F530" s="12" t="s">
        <v>1859</v>
      </c>
      <c r="G530" s="11"/>
      <c r="H530" s="11"/>
      <c r="I530" s="14">
        <v>0</v>
      </c>
      <c r="J530" s="14">
        <v>0</v>
      </c>
      <c r="K530" s="15" t="str">
        <f t="shared" ref="K530:K531" si="100">HYPERLINK("http://twitter.com/download/android","Twitter for Android")</f>
        <v>Twitter for Android</v>
      </c>
      <c r="L530" s="14">
        <v>94</v>
      </c>
      <c r="M530" s="14">
        <v>175</v>
      </c>
      <c r="N530" s="14">
        <v>0</v>
      </c>
      <c r="O530" s="16"/>
      <c r="P530" s="6">
        <v>43031.663622685184</v>
      </c>
      <c r="Q530" s="12" t="s">
        <v>1860</v>
      </c>
      <c r="R530" s="17" t="s">
        <v>1861</v>
      </c>
      <c r="S530" s="11"/>
      <c r="T530" s="11"/>
      <c r="U530" s="10" t="str">
        <f>HYPERLINK("https://pbs.twimg.com/profile_images/922463980962111488/qmHm1ocL.jpg","View")</f>
        <v>View</v>
      </c>
    </row>
    <row r="531" spans="1:21" ht="40.799999999999997">
      <c r="A531" s="6">
        <v>43440.948842592596</v>
      </c>
      <c r="B531" s="7" t="str">
        <f>HYPERLINK("https://twitter.com/JernimoTristant","@JernimoTristant")</f>
        <v>@JernimoTristant</v>
      </c>
      <c r="C531" s="8" t="s">
        <v>2432</v>
      </c>
      <c r="D531" s="9" t="s">
        <v>2433</v>
      </c>
      <c r="E531" s="10" t="str">
        <f>HYPERLINK("https://twitter.com/JernimoTristant/status/1070796608898506752","1070796608898506752")</f>
        <v>1070796608898506752</v>
      </c>
      <c r="F531" s="13" t="s">
        <v>327</v>
      </c>
      <c r="G531" s="11"/>
      <c r="H531" s="11"/>
      <c r="I531" s="14">
        <v>8</v>
      </c>
      <c r="J531" s="14">
        <v>4</v>
      </c>
      <c r="K531" s="15" t="str">
        <f t="shared" si="100"/>
        <v>Twitter for Android</v>
      </c>
      <c r="L531" s="14">
        <v>4430</v>
      </c>
      <c r="M531" s="14">
        <v>3955</v>
      </c>
      <c r="N531" s="14">
        <v>62</v>
      </c>
      <c r="O531" s="16"/>
      <c r="P531" s="6">
        <v>41069.885335648149</v>
      </c>
      <c r="Q531" s="11"/>
      <c r="R531" s="17" t="s">
        <v>2436</v>
      </c>
      <c r="S531" s="11"/>
      <c r="T531" s="11"/>
      <c r="U531" s="10" t="str">
        <f>HYPERLINK("https://pbs.twimg.com/profile_images/1069254144119238657/tbkAcFqZ.jpg","View")</f>
        <v>View</v>
      </c>
    </row>
    <row r="532" spans="1:21" ht="40.799999999999997">
      <c r="A532" s="6">
        <v>43440.948506944449</v>
      </c>
      <c r="B532" s="7" t="str">
        <f>HYPERLINK("https://twitter.com/Maggik1471","@Maggik1471")</f>
        <v>@Maggik1471</v>
      </c>
      <c r="C532" s="8" t="s">
        <v>1864</v>
      </c>
      <c r="D532" s="9" t="s">
        <v>1865</v>
      </c>
      <c r="E532" s="10" t="str">
        <f>HYPERLINK("https://twitter.com/Maggik1471/status/1070796485086887938","1070796485086887938")</f>
        <v>1070796485086887938</v>
      </c>
      <c r="F532" s="13" t="s">
        <v>1867</v>
      </c>
      <c r="G532" s="13" t="s">
        <v>1868</v>
      </c>
      <c r="H532" s="11"/>
      <c r="I532" s="14">
        <v>0</v>
      </c>
      <c r="J532" s="14">
        <v>0</v>
      </c>
      <c r="K532" s="15" t="str">
        <f>HYPERLINK("http://twitter.com/download/iphone","Twitter for iPhone")</f>
        <v>Twitter for iPhone</v>
      </c>
      <c r="L532" s="14">
        <v>39</v>
      </c>
      <c r="M532" s="14">
        <v>315</v>
      </c>
      <c r="N532" s="14">
        <v>1</v>
      </c>
      <c r="O532" s="16"/>
      <c r="P532" s="6">
        <v>42586.383634259255</v>
      </c>
      <c r="Q532" s="12" t="s">
        <v>1869</v>
      </c>
      <c r="R532" s="18"/>
      <c r="S532" s="11"/>
      <c r="T532" s="11"/>
      <c r="U532" s="10" t="str">
        <f>HYPERLINK("https://pbs.twimg.com/profile_images/905382094754414592/fUF2Ge0k.jpg","View")</f>
        <v>View</v>
      </c>
    </row>
    <row r="533" spans="1:21" ht="51">
      <c r="A533" s="6">
        <v>43440.948379629626</v>
      </c>
      <c r="B533" s="7" t="str">
        <f>HYPERLINK("https://twitter.com/DesnudandoCS","@DesnudandoCS")</f>
        <v>@DesnudandoCS</v>
      </c>
      <c r="C533" s="8" t="s">
        <v>2441</v>
      </c>
      <c r="D533" s="9" t="s">
        <v>2442</v>
      </c>
      <c r="E533" s="10" t="str">
        <f>HYPERLINK("https://twitter.com/DesnudandoCS/status/1070796439394115590","1070796439394115590")</f>
        <v>1070796439394115590</v>
      </c>
      <c r="F533" s="12" t="s">
        <v>2443</v>
      </c>
      <c r="G533" s="11"/>
      <c r="H533" s="11"/>
      <c r="I533" s="14">
        <v>6</v>
      </c>
      <c r="J533" s="14">
        <v>10</v>
      </c>
      <c r="K533" s="15" t="str">
        <f>HYPERLINK("http://twitter.com","Twitter Web Client")</f>
        <v>Twitter Web Client</v>
      </c>
      <c r="L533" s="14">
        <v>3686</v>
      </c>
      <c r="M533" s="14">
        <v>867</v>
      </c>
      <c r="N533" s="14">
        <v>10</v>
      </c>
      <c r="O533" s="16"/>
      <c r="P533" s="6">
        <v>43149.978217592594</v>
      </c>
      <c r="Q533" s="12" t="s">
        <v>2446</v>
      </c>
      <c r="R533" s="17" t="s">
        <v>2447</v>
      </c>
      <c r="S533" s="11"/>
      <c r="T533" s="11"/>
      <c r="U533" s="10" t="str">
        <f>HYPERLINK("https://pbs.twimg.com/profile_images/965354037532090368/-KKzzt2g.jpg","View")</f>
        <v>View</v>
      </c>
    </row>
    <row r="534" spans="1:21" ht="81.599999999999994">
      <c r="A534" s="6">
        <v>43440.944641203707</v>
      </c>
      <c r="B534" s="7" t="str">
        <f>HYPERLINK("https://twitter.com/alfilvaliente","@alfilvaliente")</f>
        <v>@alfilvaliente</v>
      </c>
      <c r="C534" s="8" t="s">
        <v>2448</v>
      </c>
      <c r="D534" s="9" t="s">
        <v>2449</v>
      </c>
      <c r="E534" s="10" t="str">
        <f>HYPERLINK("https://twitter.com/alfilvaliente/status/1070795086114504705","1070795086114504705")</f>
        <v>1070795086114504705</v>
      </c>
      <c r="F534" s="13" t="s">
        <v>1523</v>
      </c>
      <c r="G534" s="11"/>
      <c r="H534" s="11"/>
      <c r="I534" s="14">
        <v>0</v>
      </c>
      <c r="J534" s="14">
        <v>0</v>
      </c>
      <c r="K534" s="15" t="str">
        <f>HYPERLINK("http://twitter.com/download/android","Twitter for Android")</f>
        <v>Twitter for Android</v>
      </c>
      <c r="L534" s="14">
        <v>169</v>
      </c>
      <c r="M534" s="14">
        <v>208</v>
      </c>
      <c r="N534" s="14">
        <v>2</v>
      </c>
      <c r="O534" s="16"/>
      <c r="P534" s="6">
        <v>42155.723541666666</v>
      </c>
      <c r="Q534" s="12" t="s">
        <v>137</v>
      </c>
      <c r="R534" s="17" t="s">
        <v>2454</v>
      </c>
      <c r="S534" s="11"/>
      <c r="T534" s="11"/>
      <c r="U534" s="10" t="str">
        <f>HYPERLINK("https://pbs.twimg.com/profile_images/1048557989513322496/MOej_hMM.jpg","View")</f>
        <v>View</v>
      </c>
    </row>
    <row r="535" spans="1:21" ht="30.6">
      <c r="A535" s="6">
        <v>43440.944189814814</v>
      </c>
      <c r="B535" s="7" t="str">
        <f>HYPERLINK("https://twitter.com/COMBISOL","@COMBISOL")</f>
        <v>@COMBISOL</v>
      </c>
      <c r="C535" s="8" t="s">
        <v>2455</v>
      </c>
      <c r="D535" s="9" t="s">
        <v>225</v>
      </c>
      <c r="E535" s="10" t="str">
        <f>HYPERLINK("https://twitter.com/COMBISOL/status/1070794920464711682","1070794920464711682")</f>
        <v>1070794920464711682</v>
      </c>
      <c r="F535" s="13" t="s">
        <v>228</v>
      </c>
      <c r="G535" s="11"/>
      <c r="H535" s="11"/>
      <c r="I535" s="14">
        <v>0</v>
      </c>
      <c r="J535" s="14">
        <v>1</v>
      </c>
      <c r="K535" s="15" t="str">
        <f>HYPERLINK("http://www.facebook.com/twitter","Facebook")</f>
        <v>Facebook</v>
      </c>
      <c r="L535" s="14">
        <v>102</v>
      </c>
      <c r="M535" s="14">
        <v>238</v>
      </c>
      <c r="N535" s="14">
        <v>4</v>
      </c>
      <c r="O535" s="16"/>
      <c r="P535" s="6">
        <v>40709.723344907405</v>
      </c>
      <c r="Q535" s="12" t="s">
        <v>477</v>
      </c>
      <c r="R535" s="17" t="s">
        <v>2458</v>
      </c>
      <c r="S535" s="13" t="s">
        <v>2459</v>
      </c>
      <c r="T535" s="11"/>
      <c r="U535" s="10" t="str">
        <f>HYPERLINK("https://pbs.twimg.com/profile_images/1397278729/CABINA_ROJA_TWITTER_2_--.jpg","View")</f>
        <v>View</v>
      </c>
    </row>
    <row r="536" spans="1:21" ht="91.8">
      <c r="A536" s="6">
        <v>43440.938645833332</v>
      </c>
      <c r="B536" s="7" t="str">
        <f>HYPERLINK("https://twitter.com/LaQueSeVaALiah","@LaQueSeVaALiah")</f>
        <v>@LaQueSeVaALiah</v>
      </c>
      <c r="C536" s="8" t="s">
        <v>1872</v>
      </c>
      <c r="D536" s="9" t="s">
        <v>1873</v>
      </c>
      <c r="E536" s="10" t="str">
        <f>HYPERLINK("https://twitter.com/LaQueSeVaALiah/status/1070792912970104833","1070792912970104833")</f>
        <v>1070792912970104833</v>
      </c>
      <c r="F536" s="13" t="s">
        <v>570</v>
      </c>
      <c r="G536" s="13" t="s">
        <v>571</v>
      </c>
      <c r="H536" s="11"/>
      <c r="I536" s="14">
        <v>0</v>
      </c>
      <c r="J536" s="14">
        <v>0</v>
      </c>
      <c r="K536" s="15" t="str">
        <f>HYPERLINK("http://twitter.com","Twitter Web Client")</f>
        <v>Twitter Web Client</v>
      </c>
      <c r="L536" s="14">
        <v>475</v>
      </c>
      <c r="M536" s="14">
        <v>527</v>
      </c>
      <c r="N536" s="14">
        <v>4</v>
      </c>
      <c r="O536" s="16"/>
      <c r="P536" s="6">
        <v>40989.547280092593</v>
      </c>
      <c r="Q536" s="12" t="s">
        <v>137</v>
      </c>
      <c r="R536" s="17" t="s">
        <v>1874</v>
      </c>
      <c r="S536" s="11"/>
      <c r="T536" s="11"/>
      <c r="U536" s="10" t="str">
        <f>HYPERLINK("https://pbs.twimg.com/profile_images/1057032696168439808/BRvGDDz0.jpg","View")</f>
        <v>View</v>
      </c>
    </row>
    <row r="537" spans="1:21" ht="71.400000000000006">
      <c r="A537" s="6">
        <v>43440.937939814816</v>
      </c>
      <c r="B537" s="7" t="str">
        <f>HYPERLINK("https://twitter.com/JaimeBN1987","@JaimeBN1987")</f>
        <v>@JaimeBN1987</v>
      </c>
      <c r="C537" s="8" t="s">
        <v>2465</v>
      </c>
      <c r="D537" s="9" t="s">
        <v>2466</v>
      </c>
      <c r="E537" s="10" t="str">
        <f>HYPERLINK("https://twitter.com/JaimeBN1987/status/1070792658409439232","1070792658409439232")</f>
        <v>1070792658409439232</v>
      </c>
      <c r="F537" s="12" t="s">
        <v>2469</v>
      </c>
      <c r="G537" s="11"/>
      <c r="H537" s="11"/>
      <c r="I537" s="14">
        <v>3</v>
      </c>
      <c r="J537" s="14">
        <v>1</v>
      </c>
      <c r="K537" s="15" t="str">
        <f t="shared" ref="K537:K538" si="101">HYPERLINK("http://twitter.com/download/android","Twitter for Android")</f>
        <v>Twitter for Android</v>
      </c>
      <c r="L537" s="14">
        <v>9966</v>
      </c>
      <c r="M537" s="14">
        <v>3322</v>
      </c>
      <c r="N537" s="14">
        <v>239</v>
      </c>
      <c r="O537" s="16"/>
      <c r="P537" s="6">
        <v>40380.61891203704</v>
      </c>
      <c r="Q537" s="12" t="s">
        <v>2470</v>
      </c>
      <c r="R537" s="17" t="s">
        <v>2471</v>
      </c>
      <c r="S537" s="13" t="s">
        <v>2472</v>
      </c>
      <c r="T537" s="11"/>
      <c r="U537" s="10" t="str">
        <f>HYPERLINK("https://pbs.twimg.com/profile_images/1066736613185728512/02PBFHXK.jpg","View")</f>
        <v>View</v>
      </c>
    </row>
    <row r="538" spans="1:21" ht="81.599999999999994">
      <c r="A538" s="6">
        <v>43440.935243055559</v>
      </c>
      <c r="B538" s="7" t="str">
        <f>HYPERLINK("https://twitter.com/dexamina","@dexamina")</f>
        <v>@dexamina</v>
      </c>
      <c r="C538" s="8" t="s">
        <v>2475</v>
      </c>
      <c r="D538" s="9" t="s">
        <v>2476</v>
      </c>
      <c r="E538" s="10" t="str">
        <f>HYPERLINK("https://twitter.com/dexamina/status/1070791680243175424","1070791680243175424")</f>
        <v>1070791680243175424</v>
      </c>
      <c r="F538" s="12" t="s">
        <v>2469</v>
      </c>
      <c r="G538" s="11"/>
      <c r="H538" s="11"/>
      <c r="I538" s="14">
        <v>95</v>
      </c>
      <c r="J538" s="14">
        <v>202</v>
      </c>
      <c r="K538" s="15" t="str">
        <f t="shared" si="101"/>
        <v>Twitter for Android</v>
      </c>
      <c r="L538" s="14">
        <v>21604</v>
      </c>
      <c r="M538" s="14">
        <v>469</v>
      </c>
      <c r="N538" s="14">
        <v>69</v>
      </c>
      <c r="O538" s="16"/>
      <c r="P538" s="6">
        <v>43337.713888888888</v>
      </c>
      <c r="Q538" s="12" t="s">
        <v>2478</v>
      </c>
      <c r="R538" s="17" t="s">
        <v>2479</v>
      </c>
      <c r="S538" s="11"/>
      <c r="T538" s="11"/>
      <c r="U538" s="10" t="str">
        <f>HYPERLINK("https://pbs.twimg.com/profile_images/1033372963612110850/r1cCsz00.jpg","View")</f>
        <v>View</v>
      </c>
    </row>
    <row r="539" spans="1:21" ht="30.6">
      <c r="A539" s="6">
        <v>43440.931967592594</v>
      </c>
      <c r="B539" s="7" t="str">
        <f>HYPERLINK("https://twitter.com/PoderContra","@PoderContra")</f>
        <v>@PoderContra</v>
      </c>
      <c r="C539" s="8" t="s">
        <v>2480</v>
      </c>
      <c r="D539" s="9" t="s">
        <v>2481</v>
      </c>
      <c r="E539" s="10" t="str">
        <f>HYPERLINK("https://twitter.com/PoderContra/status/1070790491028025345","1070790491028025345")</f>
        <v>1070790491028025345</v>
      </c>
      <c r="F539" s="11"/>
      <c r="G539" s="11"/>
      <c r="H539" s="11"/>
      <c r="I539" s="14">
        <v>0</v>
      </c>
      <c r="J539" s="14">
        <v>1</v>
      </c>
      <c r="K539" s="15" t="str">
        <f t="shared" ref="K539:K542" si="102">HYPERLINK("http://twitter.com","Twitter Web Client")</f>
        <v>Twitter Web Client</v>
      </c>
      <c r="L539" s="14">
        <v>1111</v>
      </c>
      <c r="M539" s="14">
        <v>1673</v>
      </c>
      <c r="N539" s="14">
        <v>0</v>
      </c>
      <c r="O539" s="16"/>
      <c r="P539" s="6">
        <v>43331.769074074073</v>
      </c>
      <c r="Q539" s="12" t="s">
        <v>2482</v>
      </c>
      <c r="R539" s="17" t="s">
        <v>2483</v>
      </c>
      <c r="S539" s="11"/>
      <c r="T539" s="11"/>
      <c r="U539" s="10" t="str">
        <f>HYPERLINK("https://pbs.twimg.com/profile_images/1031217517736419329/ueWoRCcX.jpg","View")</f>
        <v>View</v>
      </c>
    </row>
    <row r="540" spans="1:21" ht="30.6">
      <c r="A540" s="6">
        <v>43440.931226851855</v>
      </c>
      <c r="B540" s="7" t="str">
        <f>HYPERLINK("https://twitter.com/danivaldivia15","@danivaldivia15")</f>
        <v>@danivaldivia15</v>
      </c>
      <c r="C540" s="8" t="s">
        <v>1876</v>
      </c>
      <c r="D540" s="9" t="s">
        <v>1877</v>
      </c>
      <c r="E540" s="10" t="str">
        <f>HYPERLINK("https://twitter.com/danivaldivia15/status/1070790226057015296","1070790226057015296")</f>
        <v>1070790226057015296</v>
      </c>
      <c r="F540" s="12" t="s">
        <v>1878</v>
      </c>
      <c r="G540" s="11"/>
      <c r="H540" s="11"/>
      <c r="I540" s="14">
        <v>0</v>
      </c>
      <c r="J540" s="14">
        <v>1</v>
      </c>
      <c r="K540" s="15" t="str">
        <f t="shared" si="102"/>
        <v>Twitter Web Client</v>
      </c>
      <c r="L540" s="14">
        <v>1438</v>
      </c>
      <c r="M540" s="14">
        <v>1325</v>
      </c>
      <c r="N540" s="14">
        <v>14</v>
      </c>
      <c r="O540" s="16"/>
      <c r="P540" s="6">
        <v>40911.966793981483</v>
      </c>
      <c r="Q540" s="12" t="s">
        <v>1879</v>
      </c>
      <c r="R540" s="17" t="s">
        <v>1880</v>
      </c>
      <c r="S540" s="13" t="s">
        <v>1881</v>
      </c>
      <c r="T540" s="11"/>
      <c r="U540" s="10" t="str">
        <f>HYPERLINK("https://pbs.twimg.com/profile_images/1043947685638811648/R2MkNKlG.jpg","View")</f>
        <v>View</v>
      </c>
    </row>
    <row r="541" spans="1:21" ht="40.799999999999997">
      <c r="A541" s="6">
        <v>43440.931203703702</v>
      </c>
      <c r="B541" s="7" t="str">
        <f t="shared" ref="B541:B542" si="103">HYPERLINK("https://twitter.com/migupelo2","@migupelo2")</f>
        <v>@migupelo2</v>
      </c>
      <c r="C541" s="8" t="s">
        <v>907</v>
      </c>
      <c r="D541" s="9" t="s">
        <v>1882</v>
      </c>
      <c r="E541" s="10" t="str">
        <f>HYPERLINK("https://twitter.com/migupelo2/status/1070790214719819776","1070790214719819776")</f>
        <v>1070790214719819776</v>
      </c>
      <c r="F541" s="13" t="s">
        <v>1883</v>
      </c>
      <c r="G541" s="11"/>
      <c r="H541" s="11"/>
      <c r="I541" s="14">
        <v>0</v>
      </c>
      <c r="J541" s="14">
        <v>0</v>
      </c>
      <c r="K541" s="15" t="str">
        <f t="shared" si="102"/>
        <v>Twitter Web Client</v>
      </c>
      <c r="L541" s="14">
        <v>266</v>
      </c>
      <c r="M541" s="14">
        <v>771</v>
      </c>
      <c r="N541" s="14">
        <v>18</v>
      </c>
      <c r="O541" s="16"/>
      <c r="P541" s="6">
        <v>40477.868043981478</v>
      </c>
      <c r="Q541" s="11"/>
      <c r="R541" s="17" t="s">
        <v>914</v>
      </c>
      <c r="S541" s="11"/>
      <c r="T541" s="11"/>
      <c r="U541" s="10" t="str">
        <f t="shared" ref="U541:U542" si="104">HYPERLINK("https://pbs.twimg.com/profile_images/2906316440/4ed1570f50fd6f70f1b28d458997dd81.jpeg","View")</f>
        <v>View</v>
      </c>
    </row>
    <row r="542" spans="1:21" ht="40.799999999999997">
      <c r="A542" s="6">
        <v>43440.929641203707</v>
      </c>
      <c r="B542" s="7" t="str">
        <f t="shared" si="103"/>
        <v>@migupelo2</v>
      </c>
      <c r="C542" s="8" t="s">
        <v>907</v>
      </c>
      <c r="D542" s="9" t="s">
        <v>1885</v>
      </c>
      <c r="E542" s="10" t="str">
        <f>HYPERLINK("https://twitter.com/migupelo2/status/1070789648778178560","1070789648778178560")</f>
        <v>1070789648778178560</v>
      </c>
      <c r="F542" s="13" t="s">
        <v>1883</v>
      </c>
      <c r="G542" s="11"/>
      <c r="H542" s="11"/>
      <c r="I542" s="14">
        <v>0</v>
      </c>
      <c r="J542" s="14">
        <v>0</v>
      </c>
      <c r="K542" s="15" t="str">
        <f t="shared" si="102"/>
        <v>Twitter Web Client</v>
      </c>
      <c r="L542" s="14">
        <v>266</v>
      </c>
      <c r="M542" s="14">
        <v>771</v>
      </c>
      <c r="N542" s="14">
        <v>18</v>
      </c>
      <c r="O542" s="16"/>
      <c r="P542" s="6">
        <v>40477.868043981478</v>
      </c>
      <c r="Q542" s="11"/>
      <c r="R542" s="17" t="s">
        <v>914</v>
      </c>
      <c r="S542" s="11"/>
      <c r="T542" s="11"/>
      <c r="U542" s="10" t="str">
        <f t="shared" si="104"/>
        <v>View</v>
      </c>
    </row>
    <row r="543" spans="1:21" ht="30.6">
      <c r="A543" s="6">
        <v>43440.928749999999</v>
      </c>
      <c r="B543" s="7" t="str">
        <f>HYPERLINK("https://twitter.com/curroflores1952","@curroflores1952")</f>
        <v>@curroflores1952</v>
      </c>
      <c r="C543" s="8" t="s">
        <v>2491</v>
      </c>
      <c r="D543" s="9" t="s">
        <v>225</v>
      </c>
      <c r="E543" s="10" t="str">
        <f>HYPERLINK("https://twitter.com/curroflores1952/status/1070789326479462400","1070789326479462400")</f>
        <v>1070789326479462400</v>
      </c>
      <c r="F543" s="13" t="s">
        <v>228</v>
      </c>
      <c r="G543" s="11"/>
      <c r="H543" s="11"/>
      <c r="I543" s="14">
        <v>1</v>
      </c>
      <c r="J543" s="14">
        <v>0</v>
      </c>
      <c r="K543" s="15" t="str">
        <f>HYPERLINK("http://twitter.com/download/android","Twitter for Android")</f>
        <v>Twitter for Android</v>
      </c>
      <c r="L543" s="14">
        <v>42254</v>
      </c>
      <c r="M543" s="14">
        <v>44862</v>
      </c>
      <c r="N543" s="14">
        <v>330</v>
      </c>
      <c r="O543" s="16"/>
      <c r="P543" s="6">
        <v>41048.916099537033</v>
      </c>
      <c r="Q543" s="12" t="s">
        <v>298</v>
      </c>
      <c r="R543" s="17" t="s">
        <v>2493</v>
      </c>
      <c r="S543" s="13" t="s">
        <v>2494</v>
      </c>
      <c r="T543" s="11"/>
      <c r="U543" s="10" t="str">
        <f>HYPERLINK("https://pbs.twimg.com/profile_images/453068623662174208/a_0n3b6e.jpeg","View")</f>
        <v>View</v>
      </c>
    </row>
    <row r="544" spans="1:21" ht="51">
      <c r="A544" s="6">
        <v>43440.928645833337</v>
      </c>
      <c r="B544" s="7" t="str">
        <f t="shared" ref="B544:B546" si="105">HYPERLINK("https://twitter.com/bitMomentum","@bitMomentum")</f>
        <v>@bitMomentum</v>
      </c>
      <c r="C544" s="8" t="s">
        <v>1889</v>
      </c>
      <c r="D544" s="9" t="s">
        <v>1890</v>
      </c>
      <c r="E544" s="10" t="str">
        <f>HYPERLINK("https://twitter.com/bitMomentum/status/1070789291079598081","1070789291079598081")</f>
        <v>1070789291079598081</v>
      </c>
      <c r="F544" s="11"/>
      <c r="G544" s="13" t="s">
        <v>1892</v>
      </c>
      <c r="H544" s="11"/>
      <c r="I544" s="14">
        <v>1</v>
      </c>
      <c r="J544" s="14">
        <v>1</v>
      </c>
      <c r="K544" s="15" t="str">
        <f t="shared" ref="K544:K546" si="106">HYPERLINK("http://www.bitmomentum.com","bitMomentum Bot")</f>
        <v>bitMomentum Bot</v>
      </c>
      <c r="L544" s="14">
        <v>10254</v>
      </c>
      <c r="M544" s="14">
        <v>1059</v>
      </c>
      <c r="N544" s="14">
        <v>263</v>
      </c>
      <c r="O544" s="16"/>
      <c r="P544" s="6">
        <v>41608.667511574073</v>
      </c>
      <c r="Q544" s="11"/>
      <c r="R544" s="17" t="s">
        <v>1897</v>
      </c>
      <c r="S544" s="13" t="s">
        <v>1898</v>
      </c>
      <c r="T544" s="11"/>
      <c r="U544" s="10" t="str">
        <f t="shared" ref="U544:U546" si="107">HYPERLINK("https://pbs.twimg.com/profile_images/378800000862185241/20ij2H3u.png","View")</f>
        <v>View</v>
      </c>
    </row>
    <row r="545" spans="1:21" ht="51">
      <c r="A545" s="6">
        <v>43440.928645833337</v>
      </c>
      <c r="B545" s="7" t="str">
        <f t="shared" si="105"/>
        <v>@bitMomentum</v>
      </c>
      <c r="C545" s="8" t="s">
        <v>1889</v>
      </c>
      <c r="D545" s="9" t="s">
        <v>1902</v>
      </c>
      <c r="E545" s="10" t="str">
        <f>HYPERLINK("https://twitter.com/bitMomentum/status/1070789290886598663","1070789290886598663")</f>
        <v>1070789290886598663</v>
      </c>
      <c r="F545" s="11"/>
      <c r="G545" s="13" t="s">
        <v>1903</v>
      </c>
      <c r="H545" s="11"/>
      <c r="I545" s="14">
        <v>0</v>
      </c>
      <c r="J545" s="14">
        <v>1</v>
      </c>
      <c r="K545" s="15" t="str">
        <f t="shared" si="106"/>
        <v>bitMomentum Bot</v>
      </c>
      <c r="L545" s="14">
        <v>10254</v>
      </c>
      <c r="M545" s="14">
        <v>1059</v>
      </c>
      <c r="N545" s="14">
        <v>263</v>
      </c>
      <c r="O545" s="16"/>
      <c r="P545" s="6">
        <v>41608.667511574073</v>
      </c>
      <c r="Q545" s="11"/>
      <c r="R545" s="17" t="s">
        <v>1897</v>
      </c>
      <c r="S545" s="13" t="s">
        <v>1898</v>
      </c>
      <c r="T545" s="11"/>
      <c r="U545" s="10" t="str">
        <f t="shared" si="107"/>
        <v>View</v>
      </c>
    </row>
    <row r="546" spans="1:21" ht="51">
      <c r="A546" s="6">
        <v>43440.92796296296</v>
      </c>
      <c r="B546" s="7" t="str">
        <f t="shared" si="105"/>
        <v>@bitMomentum</v>
      </c>
      <c r="C546" s="8" t="s">
        <v>1889</v>
      </c>
      <c r="D546" s="9" t="s">
        <v>1904</v>
      </c>
      <c r="E546" s="10" t="str">
        <f>HYPERLINK("https://twitter.com/bitMomentum/status/1070789039874285568","1070789039874285568")</f>
        <v>1070789039874285568</v>
      </c>
      <c r="F546" s="11"/>
      <c r="G546" s="13" t="s">
        <v>1905</v>
      </c>
      <c r="H546" s="11"/>
      <c r="I546" s="14">
        <v>1</v>
      </c>
      <c r="J546" s="14">
        <v>1</v>
      </c>
      <c r="K546" s="15" t="str">
        <f t="shared" si="106"/>
        <v>bitMomentum Bot</v>
      </c>
      <c r="L546" s="14">
        <v>10254</v>
      </c>
      <c r="M546" s="14">
        <v>1059</v>
      </c>
      <c r="N546" s="14">
        <v>263</v>
      </c>
      <c r="O546" s="16"/>
      <c r="P546" s="6">
        <v>41608.667511574073</v>
      </c>
      <c r="Q546" s="11"/>
      <c r="R546" s="17" t="s">
        <v>1897</v>
      </c>
      <c r="S546" s="13" t="s">
        <v>1898</v>
      </c>
      <c r="T546" s="11"/>
      <c r="U546" s="10" t="str">
        <f t="shared" si="107"/>
        <v>View</v>
      </c>
    </row>
    <row r="547" spans="1:21" ht="40.799999999999997">
      <c r="A547" s="6">
        <v>43440.926990740743</v>
      </c>
      <c r="B547" s="7" t="str">
        <f>HYPERLINK("https://twitter.com/JoaquinStrummer","@JoaquinStrummer")</f>
        <v>@JoaquinStrummer</v>
      </c>
      <c r="C547" s="8" t="s">
        <v>1473</v>
      </c>
      <c r="D547" s="9" t="s">
        <v>2500</v>
      </c>
      <c r="E547" s="10" t="str">
        <f>HYPERLINK("https://twitter.com/JoaquinStrummer/status/1070788687393374210","1070788687393374210")</f>
        <v>1070788687393374210</v>
      </c>
      <c r="F547" s="11"/>
      <c r="G547" s="11"/>
      <c r="H547" s="11"/>
      <c r="I547" s="14">
        <v>0</v>
      </c>
      <c r="J547" s="14">
        <v>1</v>
      </c>
      <c r="K547" s="15" t="str">
        <f>HYPERLINK("http://twitter.com","Twitter Web Client")</f>
        <v>Twitter Web Client</v>
      </c>
      <c r="L547" s="14">
        <v>773</v>
      </c>
      <c r="M547" s="14">
        <v>1510</v>
      </c>
      <c r="N547" s="14">
        <v>11</v>
      </c>
      <c r="O547" s="16"/>
      <c r="P547" s="6">
        <v>41046.012673611112</v>
      </c>
      <c r="Q547" s="12" t="s">
        <v>1478</v>
      </c>
      <c r="R547" s="17" t="s">
        <v>1479</v>
      </c>
      <c r="S547" s="11"/>
      <c r="T547" s="11"/>
      <c r="U547" s="10" t="str">
        <f>HYPERLINK("https://pbs.twimg.com/profile_images/1021884495421681665/gA73snOs.jpg","View")</f>
        <v>View</v>
      </c>
    </row>
    <row r="548" spans="1:21" ht="51">
      <c r="A548" s="6">
        <v>43440.926365740743</v>
      </c>
      <c r="B548" s="7" t="str">
        <f>HYPERLINK("https://twitter.com/TaniaCrespo3","@TaniaCrespo3")</f>
        <v>@TaniaCrespo3</v>
      </c>
      <c r="C548" s="8" t="s">
        <v>2505</v>
      </c>
      <c r="D548" s="9" t="s">
        <v>2506</v>
      </c>
      <c r="E548" s="10" t="str">
        <f>HYPERLINK("https://twitter.com/TaniaCrespo3/status/1070788464155738113","1070788464155738113")</f>
        <v>1070788464155738113</v>
      </c>
      <c r="F548" s="13" t="s">
        <v>778</v>
      </c>
      <c r="G548" s="13" t="s">
        <v>779</v>
      </c>
      <c r="H548" s="11"/>
      <c r="I548" s="14">
        <v>17</v>
      </c>
      <c r="J548" s="14">
        <v>18</v>
      </c>
      <c r="K548" s="15" t="str">
        <f>HYPERLINK("http://twitter.com/download/android","Twitter for Android")</f>
        <v>Twitter for Android</v>
      </c>
      <c r="L548" s="14">
        <v>922</v>
      </c>
      <c r="M548" s="14">
        <v>1765</v>
      </c>
      <c r="N548" s="14">
        <v>0</v>
      </c>
      <c r="O548" s="16"/>
      <c r="P548" s="6">
        <v>43257.829548611116</v>
      </c>
      <c r="Q548" s="12" t="s">
        <v>2507</v>
      </c>
      <c r="R548" s="17" t="s">
        <v>2508</v>
      </c>
      <c r="S548" s="11"/>
      <c r="T548" s="11"/>
      <c r="U548" s="10" t="str">
        <f>HYPERLINK("https://pbs.twimg.com/profile_images/1004426598471340033/zL90kJim.jpg","View")</f>
        <v>View</v>
      </c>
    </row>
    <row r="549" spans="1:21" ht="20.399999999999999">
      <c r="A549" s="6">
        <v>43440.920972222222</v>
      </c>
      <c r="B549" s="7" t="str">
        <f t="shared" ref="B549:B550" si="108">HYPERLINK("https://twitter.com/teresadepeche","@teresadepeche")</f>
        <v>@teresadepeche</v>
      </c>
      <c r="C549" s="8" t="s">
        <v>2509</v>
      </c>
      <c r="D549" s="9" t="s">
        <v>2510</v>
      </c>
      <c r="E549" s="10" t="str">
        <f>HYPERLINK("https://twitter.com/teresadepeche/status/1070786510021111809","1070786510021111809")</f>
        <v>1070786510021111809</v>
      </c>
      <c r="F549" s="11"/>
      <c r="G549" s="13" t="s">
        <v>2511</v>
      </c>
      <c r="H549" s="11"/>
      <c r="I549" s="14">
        <v>0</v>
      </c>
      <c r="J549" s="14">
        <v>0</v>
      </c>
      <c r="K549" s="15" t="str">
        <f t="shared" ref="K549:K550" si="109">HYPERLINK("http://twitter.com/download/iphone","Twitter for iPhone")</f>
        <v>Twitter for iPhone</v>
      </c>
      <c r="L549" s="14">
        <v>286</v>
      </c>
      <c r="M549" s="14">
        <v>358</v>
      </c>
      <c r="N549" s="14">
        <v>3</v>
      </c>
      <c r="O549" s="16"/>
      <c r="P549" s="6">
        <v>41698.390763888892</v>
      </c>
      <c r="Q549" s="11"/>
      <c r="R549" s="17" t="s">
        <v>2512</v>
      </c>
      <c r="S549" s="11"/>
      <c r="T549" s="11"/>
      <c r="U549" s="10" t="str">
        <f t="shared" ref="U549:U550" si="110">HYPERLINK("https://pbs.twimg.com/profile_images/439315795932610560/no00ElBD.jpeg","View")</f>
        <v>View</v>
      </c>
    </row>
    <row r="550" spans="1:21" ht="40.799999999999997">
      <c r="A550" s="6">
        <v>43440.919687500005</v>
      </c>
      <c r="B550" s="7" t="str">
        <f t="shared" si="108"/>
        <v>@teresadepeche</v>
      </c>
      <c r="C550" s="8" t="s">
        <v>2509</v>
      </c>
      <c r="D550" s="9" t="s">
        <v>2515</v>
      </c>
      <c r="E550" s="10" t="str">
        <f>HYPERLINK("https://twitter.com/teresadepeche/status/1070786043484532737","1070786043484532737")</f>
        <v>1070786043484532737</v>
      </c>
      <c r="F550" s="13" t="s">
        <v>2517</v>
      </c>
      <c r="G550" s="11"/>
      <c r="H550" s="11"/>
      <c r="I550" s="14">
        <v>0</v>
      </c>
      <c r="J550" s="14">
        <v>0</v>
      </c>
      <c r="K550" s="15" t="str">
        <f t="shared" si="109"/>
        <v>Twitter for iPhone</v>
      </c>
      <c r="L550" s="14">
        <v>286</v>
      </c>
      <c r="M550" s="14">
        <v>358</v>
      </c>
      <c r="N550" s="14">
        <v>3</v>
      </c>
      <c r="O550" s="16"/>
      <c r="P550" s="6">
        <v>41698.390763888892</v>
      </c>
      <c r="Q550" s="11"/>
      <c r="R550" s="17" t="s">
        <v>2512</v>
      </c>
      <c r="S550" s="11"/>
      <c r="T550" s="11"/>
      <c r="U550" s="10" t="str">
        <f t="shared" si="110"/>
        <v>View</v>
      </c>
    </row>
    <row r="551" spans="1:21" ht="20.399999999999999">
      <c r="A551" s="6">
        <v>43440.911099537036</v>
      </c>
      <c r="B551" s="7" t="str">
        <f>HYPERLINK("https://twitter.com/Sevilla70623583","@Sevilla70623583")</f>
        <v>@Sevilla70623583</v>
      </c>
      <c r="C551" s="8" t="s">
        <v>2521</v>
      </c>
      <c r="D551" s="9" t="s">
        <v>225</v>
      </c>
      <c r="E551" s="10" t="str">
        <f>HYPERLINK("https://twitter.com/Sevilla70623583/status/1070782930954412034","1070782930954412034")</f>
        <v>1070782930954412034</v>
      </c>
      <c r="F551" s="13" t="s">
        <v>228</v>
      </c>
      <c r="G551" s="11"/>
      <c r="H551" s="11"/>
      <c r="I551" s="14">
        <v>4</v>
      </c>
      <c r="J551" s="14">
        <v>1</v>
      </c>
      <c r="K551" s="15" t="str">
        <f>HYPERLINK("http://twitter.com/download/android","Twitter for Android")</f>
        <v>Twitter for Android</v>
      </c>
      <c r="L551" s="14">
        <v>240</v>
      </c>
      <c r="M551" s="14">
        <v>285</v>
      </c>
      <c r="N551" s="14">
        <v>2</v>
      </c>
      <c r="O551" s="16"/>
      <c r="P551" s="6">
        <v>43260.844537037032</v>
      </c>
      <c r="Q551" s="12" t="s">
        <v>477</v>
      </c>
      <c r="R551" s="17" t="s">
        <v>2524</v>
      </c>
      <c r="S551" s="11"/>
      <c r="T551" s="11"/>
      <c r="U551" s="10" t="str">
        <f>HYPERLINK("https://pbs.twimg.com/profile_images/1005866414509608960/zSCqemWq.jpg","View")</f>
        <v>View</v>
      </c>
    </row>
    <row r="552" spans="1:21" ht="30.6">
      <c r="A552" s="6">
        <v>43440.909386574072</v>
      </c>
      <c r="B552" s="7" t="str">
        <f>HYPERLINK("https://twitter.com/abuelodefelipe","@abuelodefelipe")</f>
        <v>@abuelodefelipe</v>
      </c>
      <c r="C552" s="8" t="s">
        <v>2526</v>
      </c>
      <c r="D552" s="9" t="s">
        <v>225</v>
      </c>
      <c r="E552" s="10" t="str">
        <f>HYPERLINK("https://twitter.com/abuelodefelipe/status/1070782311669600256","1070782311669600256")</f>
        <v>1070782311669600256</v>
      </c>
      <c r="F552" s="13" t="s">
        <v>228</v>
      </c>
      <c r="G552" s="11"/>
      <c r="H552" s="11"/>
      <c r="I552" s="14">
        <v>0</v>
      </c>
      <c r="J552" s="14">
        <v>0</v>
      </c>
      <c r="K552" s="15" t="str">
        <f>HYPERLINK("http://www.facebook.com/twitter","Facebook")</f>
        <v>Facebook</v>
      </c>
      <c r="L552" s="14">
        <v>1424</v>
      </c>
      <c r="M552" s="14">
        <v>2142</v>
      </c>
      <c r="N552" s="14">
        <v>17</v>
      </c>
      <c r="O552" s="16"/>
      <c r="P552" s="6">
        <v>40264.489039351851</v>
      </c>
      <c r="Q552" s="12" t="s">
        <v>2528</v>
      </c>
      <c r="R552" s="17" t="s">
        <v>2529</v>
      </c>
      <c r="S552" s="13" t="s">
        <v>2530</v>
      </c>
      <c r="T552" s="11"/>
      <c r="U552" s="10" t="str">
        <f>HYPERLINK("https://pbs.twimg.com/profile_images/1070273763047034880/efY-lr0i.jpg","View")</f>
        <v>View</v>
      </c>
    </row>
    <row r="553" spans="1:21" ht="102">
      <c r="A553" s="6">
        <v>43440.902731481481</v>
      </c>
      <c r="B553" s="7" t="str">
        <f>HYPERLINK("https://twitter.com/PAH_Arganda","@PAH_Arganda")</f>
        <v>@PAH_Arganda</v>
      </c>
      <c r="C553" s="8" t="s">
        <v>1910</v>
      </c>
      <c r="D553" s="9" t="s">
        <v>1911</v>
      </c>
      <c r="E553" s="10" t="str">
        <f>HYPERLINK("https://twitter.com/PAH_Arganda/status/1070779899475050496","1070779899475050496")</f>
        <v>1070779899475050496</v>
      </c>
      <c r="F553" s="13" t="s">
        <v>1912</v>
      </c>
      <c r="G553" s="13" t="s">
        <v>1913</v>
      </c>
      <c r="H553" s="11"/>
      <c r="I553" s="14">
        <v>26</v>
      </c>
      <c r="J553" s="14">
        <v>14</v>
      </c>
      <c r="K553" s="15" t="str">
        <f t="shared" ref="K553:K555" si="111">HYPERLINK("http://twitter.com/download/android","Twitter for Android")</f>
        <v>Twitter for Android</v>
      </c>
      <c r="L553" s="14">
        <v>2335</v>
      </c>
      <c r="M553" s="14">
        <v>674</v>
      </c>
      <c r="N553" s="14">
        <v>54</v>
      </c>
      <c r="O553" s="16"/>
      <c r="P553" s="6">
        <v>41777.916817129633</v>
      </c>
      <c r="Q553" s="12" t="s">
        <v>1916</v>
      </c>
      <c r="R553" s="17" t="s">
        <v>1917</v>
      </c>
      <c r="S553" s="13" t="s">
        <v>1918</v>
      </c>
      <c r="T553" s="11"/>
      <c r="U553" s="10" t="str">
        <f>HYPERLINK("https://pbs.twimg.com/profile_images/929403684609458176/DLzjMDX4.jpg","View")</f>
        <v>View</v>
      </c>
    </row>
    <row r="554" spans="1:21" ht="51">
      <c r="A554" s="6">
        <v>43440.900636574079</v>
      </c>
      <c r="B554" s="7" t="str">
        <f>HYPERLINK("https://twitter.com/kroostirador","@kroostirador")</f>
        <v>@kroostirador</v>
      </c>
      <c r="C554" s="8" t="s">
        <v>2535</v>
      </c>
      <c r="D554" s="9" t="s">
        <v>2536</v>
      </c>
      <c r="E554" s="10" t="str">
        <f>HYPERLINK("https://twitter.com/kroostirador/status/1070779138347360261","1070779138347360261")</f>
        <v>1070779138347360261</v>
      </c>
      <c r="F554" s="11"/>
      <c r="G554" s="11"/>
      <c r="H554" s="11"/>
      <c r="I554" s="14">
        <v>2</v>
      </c>
      <c r="J554" s="14">
        <v>2</v>
      </c>
      <c r="K554" s="15" t="str">
        <f t="shared" si="111"/>
        <v>Twitter for Android</v>
      </c>
      <c r="L554" s="14">
        <v>1638</v>
      </c>
      <c r="M554" s="14">
        <v>406</v>
      </c>
      <c r="N554" s="14">
        <v>18</v>
      </c>
      <c r="O554" s="16"/>
      <c r="P554" s="6">
        <v>43322.502384259264</v>
      </c>
      <c r="Q554" s="11"/>
      <c r="R554" s="17" t="s">
        <v>2538</v>
      </c>
      <c r="S554" s="11"/>
      <c r="T554" s="11"/>
      <c r="U554" s="10" t="str">
        <f>HYPERLINK("https://pbs.twimg.com/profile_images/1041979519576551425/gXiDESGK.jpg","View")</f>
        <v>View</v>
      </c>
    </row>
    <row r="555" spans="1:21" ht="51">
      <c r="A555" s="6">
        <v>43440.898125</v>
      </c>
      <c r="B555" s="7" t="str">
        <f>HYPERLINK("https://twitter.com/xbelbar","@xbelbar")</f>
        <v>@xbelbar</v>
      </c>
      <c r="C555" s="8" t="s">
        <v>2539</v>
      </c>
      <c r="D555" s="9" t="s">
        <v>2540</v>
      </c>
      <c r="E555" s="10" t="str">
        <f>HYPERLINK("https://twitter.com/xbelbar/status/1070778229374500865","1070778229374500865")</f>
        <v>1070778229374500865</v>
      </c>
      <c r="F555" s="13" t="s">
        <v>2541</v>
      </c>
      <c r="G555" s="11"/>
      <c r="H555" s="11"/>
      <c r="I555" s="14">
        <v>3</v>
      </c>
      <c r="J555" s="14">
        <v>2</v>
      </c>
      <c r="K555" s="15" t="str">
        <f t="shared" si="111"/>
        <v>Twitter for Android</v>
      </c>
      <c r="L555" s="14">
        <v>1241</v>
      </c>
      <c r="M555" s="14">
        <v>2210</v>
      </c>
      <c r="N555" s="14">
        <v>67</v>
      </c>
      <c r="O555" s="16"/>
      <c r="P555" s="6">
        <v>40657.648912037039</v>
      </c>
      <c r="Q555" s="12" t="s">
        <v>2542</v>
      </c>
      <c r="R555" s="17" t="s">
        <v>2543</v>
      </c>
      <c r="S555" s="11"/>
      <c r="T555" s="11"/>
      <c r="U555" s="10" t="str">
        <f>HYPERLINK("https://pbs.twimg.com/profile_images/484989127310311425/Zp1_S2-5.jpeg","View")</f>
        <v>View</v>
      </c>
    </row>
    <row r="556" spans="1:21" ht="51">
      <c r="A556" s="6">
        <v>43440.895960648151</v>
      </c>
      <c r="B556" s="7" t="str">
        <f>HYPERLINK("https://twitter.com/CsRegionMurcia","@CsRegionMurcia")</f>
        <v>@CsRegionMurcia</v>
      </c>
      <c r="C556" s="8" t="s">
        <v>817</v>
      </c>
      <c r="D556" s="9" t="s">
        <v>1923</v>
      </c>
      <c r="E556" s="10" t="str">
        <f>HYPERLINK("https://twitter.com/CsRegionMurcia/status/1070777443978493952","1070777443978493952")</f>
        <v>1070777443978493952</v>
      </c>
      <c r="F556" s="11"/>
      <c r="G556" s="13" t="s">
        <v>1926</v>
      </c>
      <c r="H556" s="11"/>
      <c r="I556" s="14">
        <v>5</v>
      </c>
      <c r="J556" s="14">
        <v>9</v>
      </c>
      <c r="K556" s="15" t="str">
        <f>HYPERLINK("https://www.hootsuite.com","Hootsuite Inc.")</f>
        <v>Hootsuite Inc.</v>
      </c>
      <c r="L556" s="14">
        <v>6245</v>
      </c>
      <c r="M556" s="14">
        <v>1107</v>
      </c>
      <c r="N556" s="14">
        <v>96</v>
      </c>
      <c r="O556" s="19" t="s">
        <v>42</v>
      </c>
      <c r="P556" s="6">
        <v>40745.431666666671</v>
      </c>
      <c r="Q556" s="12" t="s">
        <v>820</v>
      </c>
      <c r="R556" s="17" t="s">
        <v>821</v>
      </c>
      <c r="S556" s="13" t="s">
        <v>822</v>
      </c>
      <c r="T556" s="11"/>
      <c r="U556" s="10" t="str">
        <f>HYPERLINK("https://pbs.twimg.com/profile_images/1053559144299614208/SFwaZPxU.jpg","View")</f>
        <v>View</v>
      </c>
    </row>
    <row r="557" spans="1:21" ht="40.799999999999997">
      <c r="A557" s="6">
        <v>43440.895613425921</v>
      </c>
      <c r="B557" s="7" t="str">
        <f>HYPERLINK("https://twitter.com/cseiriz","@cseiriz")</f>
        <v>@cseiriz</v>
      </c>
      <c r="C557" s="8" t="s">
        <v>2545</v>
      </c>
      <c r="D557" s="9" t="s">
        <v>418</v>
      </c>
      <c r="E557" s="10" t="str">
        <f>HYPERLINK("https://twitter.com/cseiriz/status/1070777319181217793","1070777319181217793")</f>
        <v>1070777319181217793</v>
      </c>
      <c r="F557" s="13" t="s">
        <v>228</v>
      </c>
      <c r="G557" s="11"/>
      <c r="H557" s="11"/>
      <c r="I557" s="14">
        <v>0</v>
      </c>
      <c r="J557" s="14">
        <v>0</v>
      </c>
      <c r="K557" s="15" t="str">
        <f t="shared" ref="K557:K558" si="112">HYPERLINK("http://twitter.com","Twitter Web Client")</f>
        <v>Twitter Web Client</v>
      </c>
      <c r="L557" s="14">
        <v>3327</v>
      </c>
      <c r="M557" s="14">
        <v>4997</v>
      </c>
      <c r="N557" s="14">
        <v>205</v>
      </c>
      <c r="O557" s="16"/>
      <c r="P557" s="6">
        <v>41050.852569444447</v>
      </c>
      <c r="Q557" s="12" t="s">
        <v>2547</v>
      </c>
      <c r="R557" s="17" t="s">
        <v>2548</v>
      </c>
      <c r="S557" s="11"/>
      <c r="T557" s="11"/>
      <c r="U557" s="10" t="str">
        <f>HYPERLINK("https://pbs.twimg.com/profile_images/3651122741/2de33ab821d3dafea1bfa29c09f405e9.jpeg","View")</f>
        <v>View</v>
      </c>
    </row>
    <row r="558" spans="1:21" ht="51">
      <c r="A558" s="6">
        <v>43440.894201388888</v>
      </c>
      <c r="B558" s="7" t="str">
        <f>HYPERLINK("https://twitter.com/gbatallerpiera","@gbatallerpiera")</f>
        <v>@gbatallerpiera</v>
      </c>
      <c r="C558" s="8" t="s">
        <v>1930</v>
      </c>
      <c r="D558" s="9" t="s">
        <v>39</v>
      </c>
      <c r="E558" s="10" t="str">
        <f>HYPERLINK("https://twitter.com/gbatallerpiera/status/1070776806968582144","1070776806968582144")</f>
        <v>1070776806968582144</v>
      </c>
      <c r="F558" s="13" t="s">
        <v>1931</v>
      </c>
      <c r="G558" s="11"/>
      <c r="H558" s="11"/>
      <c r="I558" s="14">
        <v>0</v>
      </c>
      <c r="J558" s="14">
        <v>0</v>
      </c>
      <c r="K558" s="15" t="str">
        <f t="shared" si="112"/>
        <v>Twitter Web Client</v>
      </c>
      <c r="L558" s="14">
        <v>41</v>
      </c>
      <c r="M558" s="14">
        <v>78</v>
      </c>
      <c r="N558" s="14">
        <v>0</v>
      </c>
      <c r="O558" s="16"/>
      <c r="P558" s="6">
        <v>41643.588819444441</v>
      </c>
      <c r="Q558" s="12" t="s">
        <v>927</v>
      </c>
      <c r="R558" s="17" t="s">
        <v>1932</v>
      </c>
      <c r="S558" s="11"/>
      <c r="T558" s="11"/>
      <c r="U558" s="10" t="str">
        <f>HYPERLINK("https://pbs.twimg.com/profile_images/681920059829256193/a6pcwMFa.jpg","View")</f>
        <v>View</v>
      </c>
    </row>
    <row r="559" spans="1:21" ht="61.2">
      <c r="A559" s="6">
        <v>43440.889409722222</v>
      </c>
      <c r="B559" s="7" t="str">
        <f>HYPERLINK("https://twitter.com/Cassius0","@Cassius0")</f>
        <v>@Cassius0</v>
      </c>
      <c r="C559" s="8" t="s">
        <v>1933</v>
      </c>
      <c r="D559" s="9" t="s">
        <v>1934</v>
      </c>
      <c r="E559" s="10" t="str">
        <f>HYPERLINK("https://twitter.com/Cassius0/status/1070775071088754689","1070775071088754689")</f>
        <v>1070775071088754689</v>
      </c>
      <c r="F559" s="13" t="s">
        <v>1935</v>
      </c>
      <c r="G559" s="11"/>
      <c r="H559" s="11"/>
      <c r="I559" s="14">
        <v>0</v>
      </c>
      <c r="J559" s="14">
        <v>1</v>
      </c>
      <c r="K559" s="15" t="str">
        <f>HYPERLINK("http://twitter.com/download/iphone","Twitter for iPhone")</f>
        <v>Twitter for iPhone</v>
      </c>
      <c r="L559" s="14">
        <v>614</v>
      </c>
      <c r="M559" s="14">
        <v>893</v>
      </c>
      <c r="N559" s="14">
        <v>3</v>
      </c>
      <c r="O559" s="16"/>
      <c r="P559" s="6">
        <v>40585.558263888888</v>
      </c>
      <c r="Q559" s="11"/>
      <c r="R559" s="17" t="s">
        <v>1936</v>
      </c>
      <c r="S559" s="11"/>
      <c r="T559" s="11"/>
      <c r="U559" s="10" t="str">
        <f>HYPERLINK("https://pbs.twimg.com/profile_images/2962542604/9c15a009c9267fbd4566db0370c0e1e0.jpeg","View")</f>
        <v>View</v>
      </c>
    </row>
    <row r="560" spans="1:21" ht="51">
      <c r="A560" s="6">
        <v>43440.888981481483</v>
      </c>
      <c r="B560" s="7" t="str">
        <f>HYPERLINK("https://twitter.com/JuanPombar","@JuanPombar")</f>
        <v>@JuanPombar</v>
      </c>
      <c r="C560" s="8" t="s">
        <v>2552</v>
      </c>
      <c r="D560" s="9" t="s">
        <v>2553</v>
      </c>
      <c r="E560" s="10" t="str">
        <f>HYPERLINK("https://twitter.com/JuanPombar/status/1070774913835982848","1070774913835982848")</f>
        <v>1070774913835982848</v>
      </c>
      <c r="F560" s="11"/>
      <c r="G560" s="11"/>
      <c r="H560" s="11"/>
      <c r="I560" s="14">
        <v>0</v>
      </c>
      <c r="J560" s="14">
        <v>1</v>
      </c>
      <c r="K560" s="15" t="str">
        <f>HYPERLINK("http://twitter.com/download/android","Twitter for Android")</f>
        <v>Twitter for Android</v>
      </c>
      <c r="L560" s="14">
        <v>1103</v>
      </c>
      <c r="M560" s="14">
        <v>261</v>
      </c>
      <c r="N560" s="14">
        <v>61</v>
      </c>
      <c r="O560" s="16"/>
      <c r="P560" s="6">
        <v>39907.894618055558</v>
      </c>
      <c r="Q560" s="12" t="s">
        <v>2555</v>
      </c>
      <c r="R560" s="17" t="s">
        <v>2556</v>
      </c>
      <c r="S560" s="13" t="s">
        <v>2557</v>
      </c>
      <c r="T560" s="11"/>
      <c r="U560" s="10" t="str">
        <f>HYPERLINK("https://pbs.twimg.com/profile_images/1019524742511022080/QZ_29XOf.jpg","View")</f>
        <v>View</v>
      </c>
    </row>
    <row r="561" spans="1:21" ht="30.6">
      <c r="A561" s="6">
        <v>43440.886712962965</v>
      </c>
      <c r="B561" s="7" t="str">
        <f>HYPERLINK("https://twitter.com/PilotoRojo73","@PilotoRojo73")</f>
        <v>@PilotoRojo73</v>
      </c>
      <c r="C561" s="8" t="s">
        <v>2559</v>
      </c>
      <c r="D561" s="9" t="s">
        <v>225</v>
      </c>
      <c r="E561" s="10" t="str">
        <f>HYPERLINK("https://twitter.com/PilotoRojo73/status/1070774091609726976","1070774091609726976")</f>
        <v>1070774091609726976</v>
      </c>
      <c r="F561" s="13" t="s">
        <v>228</v>
      </c>
      <c r="G561" s="11"/>
      <c r="H561" s="11"/>
      <c r="I561" s="14">
        <v>2</v>
      </c>
      <c r="J561" s="14">
        <v>2</v>
      </c>
      <c r="K561" s="15" t="str">
        <f>HYPERLINK("http://twitter.com","Twitter Web Client")</f>
        <v>Twitter Web Client</v>
      </c>
      <c r="L561" s="14">
        <v>10332</v>
      </c>
      <c r="M561" s="14">
        <v>7951</v>
      </c>
      <c r="N561" s="14">
        <v>61</v>
      </c>
      <c r="O561" s="16"/>
      <c r="P561" s="6">
        <v>42494.038310185184</v>
      </c>
      <c r="Q561" s="12" t="s">
        <v>2560</v>
      </c>
      <c r="R561" s="17" t="s">
        <v>2561</v>
      </c>
      <c r="S561" s="13" t="s">
        <v>2562</v>
      </c>
      <c r="T561" s="11"/>
      <c r="U561" s="10" t="str">
        <f>HYPERLINK("https://pbs.twimg.com/profile_images/1051228030612492288/ocTykL51.jpg","View")</f>
        <v>View</v>
      </c>
    </row>
    <row r="562" spans="1:21" ht="71.400000000000006">
      <c r="A562" s="6">
        <v>43440.884641203702</v>
      </c>
      <c r="B562" s="7" t="str">
        <f>HYPERLINK("https://twitter.com/Marte_Ven1","@Marte_Ven1")</f>
        <v>@Marte_Ven1</v>
      </c>
      <c r="C562" s="8" t="s">
        <v>2565</v>
      </c>
      <c r="D562" s="9" t="s">
        <v>2566</v>
      </c>
      <c r="E562" s="10" t="str">
        <f>HYPERLINK("https://twitter.com/Marte_Ven1/status/1070773342439915520","1070773342439915520")</f>
        <v>1070773342439915520</v>
      </c>
      <c r="F562" s="13" t="s">
        <v>1523</v>
      </c>
      <c r="G562" s="11"/>
      <c r="H562" s="11"/>
      <c r="I562" s="14">
        <v>0</v>
      </c>
      <c r="J562" s="14">
        <v>0</v>
      </c>
      <c r="K562" s="15" t="str">
        <f>HYPERLINK("http://twitter.com/download/iphone","Twitter for iPhone")</f>
        <v>Twitter for iPhone</v>
      </c>
      <c r="L562" s="14">
        <v>7982</v>
      </c>
      <c r="M562" s="14">
        <v>7749</v>
      </c>
      <c r="N562" s="14">
        <v>56</v>
      </c>
      <c r="O562" s="16"/>
      <c r="P562" s="6">
        <v>41380.321435185186</v>
      </c>
      <c r="Q562" s="11"/>
      <c r="R562" s="17" t="s">
        <v>2568</v>
      </c>
      <c r="S562" s="11"/>
      <c r="T562" s="11"/>
      <c r="U562" s="10" t="str">
        <f>HYPERLINK("https://pbs.twimg.com/profile_images/434630047111315456/k3gs5hgH.jpeg","View")</f>
        <v>View</v>
      </c>
    </row>
    <row r="563" spans="1:21" ht="30.6">
      <c r="A563" s="6">
        <v>43440.884097222224</v>
      </c>
      <c r="B563" s="7" t="str">
        <f>HYPERLINK("https://twitter.com/Julianvirome","@Julianvirome")</f>
        <v>@Julianvirome</v>
      </c>
      <c r="C563" s="8" t="s">
        <v>385</v>
      </c>
      <c r="D563" s="9" t="s">
        <v>2571</v>
      </c>
      <c r="E563" s="10" t="str">
        <f>HYPERLINK("https://twitter.com/Julianvirome/status/1070773145777381376","1070773145777381376")</f>
        <v>1070773145777381376</v>
      </c>
      <c r="F563" s="11"/>
      <c r="G563" s="11"/>
      <c r="H563" s="11"/>
      <c r="I563" s="14">
        <v>0</v>
      </c>
      <c r="J563" s="14">
        <v>2</v>
      </c>
      <c r="K563" s="15" t="str">
        <f>HYPERLINK("http://twitter.com/download/android","Twitter for Android")</f>
        <v>Twitter for Android</v>
      </c>
      <c r="L563" s="14">
        <v>2630</v>
      </c>
      <c r="M563" s="14">
        <v>4994</v>
      </c>
      <c r="N563" s="14">
        <v>23</v>
      </c>
      <c r="O563" s="16"/>
      <c r="P563" s="6">
        <v>40630.875810185185</v>
      </c>
      <c r="Q563" s="12" t="s">
        <v>29</v>
      </c>
      <c r="R563" s="17" t="s">
        <v>387</v>
      </c>
      <c r="S563" s="11"/>
      <c r="T563" s="11"/>
      <c r="U563" s="10" t="str">
        <f>HYPERLINK("https://pbs.twimg.com/profile_images/1015475281803530241/aBROVKXy.jpg","View")</f>
        <v>View</v>
      </c>
    </row>
    <row r="564" spans="1:21" ht="20.399999999999999">
      <c r="A564" s="6">
        <v>43440.88381944444</v>
      </c>
      <c r="B564" s="7" t="str">
        <f>HYPERLINK("https://twitter.com/angelacarvajal_","@angelacarvajal_")</f>
        <v>@angelacarvajal_</v>
      </c>
      <c r="C564" s="8" t="s">
        <v>2576</v>
      </c>
      <c r="D564" s="9" t="s">
        <v>2577</v>
      </c>
      <c r="E564" s="10" t="str">
        <f>HYPERLINK("https://twitter.com/angelacarvajal_/status/1070773044069720070","1070773044069720070")</f>
        <v>1070773044069720070</v>
      </c>
      <c r="F564" s="11"/>
      <c r="G564" s="11"/>
      <c r="H564" s="11"/>
      <c r="I564" s="14">
        <v>0</v>
      </c>
      <c r="J564" s="14">
        <v>2</v>
      </c>
      <c r="K564" s="15" t="str">
        <f t="shared" ref="K564:K565" si="113">HYPERLINK("http://twitter.com","Twitter Web Client")</f>
        <v>Twitter Web Client</v>
      </c>
      <c r="L564" s="14">
        <v>1698</v>
      </c>
      <c r="M564" s="14">
        <v>1582</v>
      </c>
      <c r="N564" s="14">
        <v>8</v>
      </c>
      <c r="O564" s="16"/>
      <c r="P564" s="6">
        <v>41149.473252314812</v>
      </c>
      <c r="Q564" s="12" t="s">
        <v>2580</v>
      </c>
      <c r="R564" s="17" t="s">
        <v>2581</v>
      </c>
      <c r="S564" s="11"/>
      <c r="T564" s="11"/>
      <c r="U564" s="10" t="str">
        <f>HYPERLINK("https://pbs.twimg.com/profile_images/1070031475821740032/AiRkxgtP.jpg","View")</f>
        <v>View</v>
      </c>
    </row>
    <row r="565" spans="1:21" ht="40.799999999999997">
      <c r="A565" s="6">
        <v>43440.88118055556</v>
      </c>
      <c r="B565" s="7" t="str">
        <f>HYPERLINK("https://twitter.com/tatarlak","@tatarlak")</f>
        <v>@tatarlak</v>
      </c>
      <c r="C565" s="8" t="s">
        <v>1937</v>
      </c>
      <c r="D565" s="9" t="s">
        <v>1938</v>
      </c>
      <c r="E565" s="10" t="str">
        <f>HYPERLINK("https://twitter.com/tatarlak/status/1070772086677889025","1070772086677889025")</f>
        <v>1070772086677889025</v>
      </c>
      <c r="F565" s="13" t="s">
        <v>1939</v>
      </c>
      <c r="G565" s="11"/>
      <c r="H565" s="11"/>
      <c r="I565" s="14">
        <v>0</v>
      </c>
      <c r="J565" s="14">
        <v>0</v>
      </c>
      <c r="K565" s="15" t="str">
        <f t="shared" si="113"/>
        <v>Twitter Web Client</v>
      </c>
      <c r="L565" s="14">
        <v>3540</v>
      </c>
      <c r="M565" s="14">
        <v>4645</v>
      </c>
      <c r="N565" s="14">
        <v>173</v>
      </c>
      <c r="O565" s="16"/>
      <c r="P565" s="6">
        <v>39942.875520833331</v>
      </c>
      <c r="Q565" s="12" t="s">
        <v>1940</v>
      </c>
      <c r="R565" s="17" t="s">
        <v>1941</v>
      </c>
      <c r="S565" s="13" t="s">
        <v>1942</v>
      </c>
      <c r="T565" s="11"/>
      <c r="U565" s="10" t="str">
        <f>HYPERLINK("https://pbs.twimg.com/profile_images/828645700825182209/EyWSNwMu.jpg","View")</f>
        <v>View</v>
      </c>
    </row>
    <row r="566" spans="1:21" ht="51">
      <c r="A566" s="6">
        <v>43440.879618055551</v>
      </c>
      <c r="B566" s="7" t="str">
        <f>HYPERLINK("https://twitter.com/OficialSrLopez","@OficialSrLopez")</f>
        <v>@OficialSrLopez</v>
      </c>
      <c r="C566" s="8" t="s">
        <v>1943</v>
      </c>
      <c r="D566" s="9" t="s">
        <v>1944</v>
      </c>
      <c r="E566" s="10" t="str">
        <f>HYPERLINK("https://twitter.com/OficialSrLopez/status/1070771522095202306","1070771522095202306")</f>
        <v>1070771522095202306</v>
      </c>
      <c r="F566" s="13" t="s">
        <v>1947</v>
      </c>
      <c r="G566" s="11"/>
      <c r="H566" s="11"/>
      <c r="I566" s="14">
        <v>1</v>
      </c>
      <c r="J566" s="14">
        <v>1</v>
      </c>
      <c r="K566" s="15" t="str">
        <f>HYPERLINK("http://twitter.com/download/iphone","Twitter for iPhone")</f>
        <v>Twitter for iPhone</v>
      </c>
      <c r="L566" s="14">
        <v>19</v>
      </c>
      <c r="M566" s="14">
        <v>98</v>
      </c>
      <c r="N566" s="14">
        <v>0</v>
      </c>
      <c r="O566" s="16"/>
      <c r="P566" s="6">
        <v>43432.080717592587</v>
      </c>
      <c r="Q566" s="12" t="s">
        <v>1949</v>
      </c>
      <c r="R566" s="17" t="s">
        <v>1950</v>
      </c>
      <c r="S566" s="11"/>
      <c r="T566" s="11"/>
      <c r="U566" s="10" t="str">
        <f>HYPERLINK("https://pbs.twimg.com/profile_images/1067586319818334209/IJWtN2XA.jpg","View")</f>
        <v>View</v>
      </c>
    </row>
    <row r="567" spans="1:21" ht="51">
      <c r="A567" s="6">
        <v>43440.879560185189</v>
      </c>
      <c r="B567" s="7" t="str">
        <f>HYPERLINK("https://twitter.com/pedetena","@pedetena")</f>
        <v>@pedetena</v>
      </c>
      <c r="C567" s="8" t="s">
        <v>2590</v>
      </c>
      <c r="D567" s="9" t="s">
        <v>2591</v>
      </c>
      <c r="E567" s="10" t="str">
        <f>HYPERLINK("https://twitter.com/pedetena/status/1070771500750381056","1070771500750381056")</f>
        <v>1070771500750381056</v>
      </c>
      <c r="F567" s="11"/>
      <c r="G567" s="13" t="s">
        <v>2592</v>
      </c>
      <c r="H567" s="11"/>
      <c r="I567" s="14">
        <v>1</v>
      </c>
      <c r="J567" s="14">
        <v>8</v>
      </c>
      <c r="K567" s="15" t="str">
        <f t="shared" ref="K567:K568" si="114">HYPERLINK("http://twitter.com/download/android","Twitter for Android")</f>
        <v>Twitter for Android</v>
      </c>
      <c r="L567" s="14">
        <v>169</v>
      </c>
      <c r="M567" s="14">
        <v>345</v>
      </c>
      <c r="N567" s="14">
        <v>1</v>
      </c>
      <c r="O567" s="16"/>
      <c r="P567" s="6">
        <v>43177.388206018513</v>
      </c>
      <c r="Q567" s="12" t="s">
        <v>2595</v>
      </c>
      <c r="R567" s="17" t="s">
        <v>2596</v>
      </c>
      <c r="S567" s="11"/>
      <c r="T567" s="11"/>
      <c r="U567" s="10" t="str">
        <f>HYPERLINK("https://pbs.twimg.com/profile_images/977931087786725376/nt7qnT_6.jpg","View")</f>
        <v>View</v>
      </c>
    </row>
    <row r="568" spans="1:21" ht="51">
      <c r="A568" s="6">
        <v>43440.878796296296</v>
      </c>
      <c r="B568" s="7" t="str">
        <f>HYPERLINK("https://twitter.com/Cs_SantaMartaT","@Cs_SantaMartaT")</f>
        <v>@Cs_SantaMartaT</v>
      </c>
      <c r="C568" s="8" t="s">
        <v>2598</v>
      </c>
      <c r="D568" s="9" t="s">
        <v>2591</v>
      </c>
      <c r="E568" s="10" t="str">
        <f>HYPERLINK("https://twitter.com/Cs_SantaMartaT/status/1070771224723247105","1070771224723247105")</f>
        <v>1070771224723247105</v>
      </c>
      <c r="F568" s="11"/>
      <c r="G568" s="13" t="s">
        <v>2601</v>
      </c>
      <c r="H568" s="11"/>
      <c r="I568" s="14">
        <v>4</v>
      </c>
      <c r="J568" s="14">
        <v>6</v>
      </c>
      <c r="K568" s="15" t="str">
        <f t="shared" si="114"/>
        <v>Twitter for Android</v>
      </c>
      <c r="L568" s="14">
        <v>369</v>
      </c>
      <c r="M568" s="14">
        <v>497</v>
      </c>
      <c r="N568" s="14">
        <v>2</v>
      </c>
      <c r="O568" s="16"/>
      <c r="P568" s="6">
        <v>42760.447731481487</v>
      </c>
      <c r="Q568" s="12" t="s">
        <v>2595</v>
      </c>
      <c r="R568" s="17" t="s">
        <v>2602</v>
      </c>
      <c r="S568" s="13" t="s">
        <v>2603</v>
      </c>
      <c r="T568" s="11"/>
      <c r="U568" s="10" t="str">
        <f>HYPERLINK("https://pbs.twimg.com/profile_images/899715069675806721/NTG6OzGW.jpg","View")</f>
        <v>View</v>
      </c>
    </row>
    <row r="569" spans="1:21" ht="20.399999999999999">
      <c r="A569" s="6">
        <v>43440.876932870371</v>
      </c>
      <c r="B569" s="7" t="str">
        <f>HYPERLINK("https://twitter.com/SENECA_HH","@SENECA_HH")</f>
        <v>@SENECA_HH</v>
      </c>
      <c r="C569" s="8" t="s">
        <v>2607</v>
      </c>
      <c r="D569" s="9" t="s">
        <v>2608</v>
      </c>
      <c r="E569" s="10" t="str">
        <f>HYPERLINK("https://twitter.com/SENECA_HH/status/1070770549511634944","1070770549511634944")</f>
        <v>1070770549511634944</v>
      </c>
      <c r="F569" s="13" t="s">
        <v>228</v>
      </c>
      <c r="G569" s="11"/>
      <c r="H569" s="11"/>
      <c r="I569" s="14">
        <v>1</v>
      </c>
      <c r="J569" s="14">
        <v>0</v>
      </c>
      <c r="K569" s="15" t="str">
        <f>HYPERLINK("http://twitter.com","Twitter Web Client")</f>
        <v>Twitter Web Client</v>
      </c>
      <c r="L569" s="14">
        <v>1382</v>
      </c>
      <c r="M569" s="14">
        <v>972</v>
      </c>
      <c r="N569" s="14">
        <v>25</v>
      </c>
      <c r="O569" s="16"/>
      <c r="P569" s="6">
        <v>40944.904756944445</v>
      </c>
      <c r="Q569" s="12" t="s">
        <v>137</v>
      </c>
      <c r="R569" s="17" t="s">
        <v>2610</v>
      </c>
      <c r="S569" s="11"/>
      <c r="T569" s="11"/>
      <c r="U569" s="10" t="str">
        <f>HYPERLINK("https://pbs.twimg.com/profile_images/1006505117884076033/HyYIq-WV.jpg","View")</f>
        <v>View</v>
      </c>
    </row>
    <row r="570" spans="1:21" ht="20.399999999999999">
      <c r="A570" s="6">
        <v>43440.876840277779</v>
      </c>
      <c r="B570" s="7" t="str">
        <f>HYPERLINK("https://twitter.com/alberto_p_ferre","@alberto_p_ferre")</f>
        <v>@alberto_p_ferre</v>
      </c>
      <c r="C570" s="8" t="s">
        <v>2611</v>
      </c>
      <c r="D570" s="9" t="s">
        <v>225</v>
      </c>
      <c r="E570" s="10" t="str">
        <f>HYPERLINK("https://twitter.com/alberto_p_ferre/status/1070770515915231234","1070770515915231234")</f>
        <v>1070770515915231234</v>
      </c>
      <c r="F570" s="13" t="s">
        <v>2614</v>
      </c>
      <c r="G570" s="11"/>
      <c r="H570" s="11"/>
      <c r="I570" s="14">
        <v>1</v>
      </c>
      <c r="J570" s="14">
        <v>0</v>
      </c>
      <c r="K570" s="15" t="str">
        <f>HYPERLINK("http://twitter.com/download/iphone","Twitter for iPhone")</f>
        <v>Twitter for iPhone</v>
      </c>
      <c r="L570" s="14">
        <v>4474</v>
      </c>
      <c r="M570" s="14">
        <v>2618</v>
      </c>
      <c r="N570" s="14">
        <v>51</v>
      </c>
      <c r="O570" s="16"/>
      <c r="P570" s="6">
        <v>40623.936157407406</v>
      </c>
      <c r="Q570" s="12" t="s">
        <v>2616</v>
      </c>
      <c r="R570" s="17" t="s">
        <v>2617</v>
      </c>
      <c r="S570" s="11"/>
      <c r="T570" s="11"/>
      <c r="U570" s="10" t="str">
        <f>HYPERLINK("https://pbs.twimg.com/profile_images/525049204721598464/u30b1UUu.jpeg","View")</f>
        <v>View</v>
      </c>
    </row>
    <row r="571" spans="1:21" ht="40.799999999999997">
      <c r="A571" s="6">
        <v>43440.876111111109</v>
      </c>
      <c r="B571" s="7" t="str">
        <f>HYPERLINK("https://twitter.com/soup_dragons","@soup_dragons")</f>
        <v>@soup_dragons</v>
      </c>
      <c r="C571" s="8" t="s">
        <v>2618</v>
      </c>
      <c r="D571" s="9" t="s">
        <v>2619</v>
      </c>
      <c r="E571" s="10" t="str">
        <f>HYPERLINK("https://twitter.com/soup_dragons/status/1070770249333727237","1070770249333727237")</f>
        <v>1070770249333727237</v>
      </c>
      <c r="F571" s="11"/>
      <c r="G571" s="11"/>
      <c r="H571" s="11"/>
      <c r="I571" s="14">
        <v>0</v>
      </c>
      <c r="J571" s="14">
        <v>0</v>
      </c>
      <c r="K571" s="15" t="str">
        <f t="shared" ref="K571:K572" si="115">HYPERLINK("http://twitter.com","Twitter Web Client")</f>
        <v>Twitter Web Client</v>
      </c>
      <c r="L571" s="14">
        <v>6077</v>
      </c>
      <c r="M571" s="14">
        <v>5473</v>
      </c>
      <c r="N571" s="14">
        <v>21</v>
      </c>
      <c r="O571" s="16"/>
      <c r="P571" s="6">
        <v>42003.72320601852</v>
      </c>
      <c r="Q571" s="12" t="s">
        <v>2622</v>
      </c>
      <c r="R571" s="17" t="s">
        <v>2623</v>
      </c>
      <c r="S571" s="13" t="s">
        <v>2624</v>
      </c>
      <c r="T571" s="11"/>
      <c r="U571" s="10" t="str">
        <f>HYPERLINK("https://pbs.twimg.com/profile_images/1060627899550756865/WgevRwDI.jpg","View")</f>
        <v>View</v>
      </c>
    </row>
    <row r="572" spans="1:21" ht="51">
      <c r="A572" s="6">
        <v>43440.87568287037</v>
      </c>
      <c r="B572" s="7" t="str">
        <f>HYPERLINK("https://twitter.com/JoseMGarrido","@JoseMGarrido")</f>
        <v>@JoseMGarrido</v>
      </c>
      <c r="C572" s="8" t="s">
        <v>2625</v>
      </c>
      <c r="D572" s="9" t="s">
        <v>2626</v>
      </c>
      <c r="E572" s="10" t="str">
        <f>HYPERLINK("https://twitter.com/JoseMGarrido/status/1070770094958174213","1070770094958174213")</f>
        <v>1070770094958174213</v>
      </c>
      <c r="F572" s="13" t="s">
        <v>228</v>
      </c>
      <c r="G572" s="11"/>
      <c r="H572" s="11"/>
      <c r="I572" s="14">
        <v>32</v>
      </c>
      <c r="J572" s="14">
        <v>26</v>
      </c>
      <c r="K572" s="15" t="str">
        <f t="shared" si="115"/>
        <v>Twitter Web Client</v>
      </c>
      <c r="L572" s="14">
        <v>1272</v>
      </c>
      <c r="M572" s="14">
        <v>411</v>
      </c>
      <c r="N572" s="14">
        <v>30</v>
      </c>
      <c r="O572" s="16"/>
      <c r="P572" s="6">
        <v>40188.993993055556</v>
      </c>
      <c r="Q572" s="12" t="s">
        <v>2628</v>
      </c>
      <c r="R572" s="17" t="s">
        <v>2629</v>
      </c>
      <c r="S572" s="13" t="s">
        <v>890</v>
      </c>
      <c r="T572" s="11"/>
      <c r="U572" s="10" t="str">
        <f>HYPERLINK("https://pbs.twimg.com/profile_images/590112495945326592/b06mrUun.jpg","View")</f>
        <v>View</v>
      </c>
    </row>
    <row r="573" spans="1:21" ht="30.6">
      <c r="A573" s="6">
        <v>43440.875</v>
      </c>
      <c r="B573" s="7" t="str">
        <f>HYPERLINK("https://twitter.com/Cs_Tenerife","@Cs_Tenerife")</f>
        <v>@Cs_Tenerife</v>
      </c>
      <c r="C573" s="8" t="s">
        <v>1598</v>
      </c>
      <c r="D573" s="9" t="s">
        <v>1951</v>
      </c>
      <c r="E573" s="10" t="str">
        <f>HYPERLINK("https://twitter.com/Cs_Tenerife/status/1070769849721331712","1070769849721331712")</f>
        <v>1070769849721331712</v>
      </c>
      <c r="F573" s="13" t="s">
        <v>1952</v>
      </c>
      <c r="G573" s="11"/>
      <c r="H573" s="11"/>
      <c r="I573" s="14">
        <v>1</v>
      </c>
      <c r="J573" s="14">
        <v>2</v>
      </c>
      <c r="K573" s="15" t="str">
        <f>HYPERLINK("https://about.twitter.com/products/tweetdeck","TweetDeck")</f>
        <v>TweetDeck</v>
      </c>
      <c r="L573" s="14">
        <v>314</v>
      </c>
      <c r="M573" s="14">
        <v>412</v>
      </c>
      <c r="N573" s="14">
        <v>2</v>
      </c>
      <c r="O573" s="16"/>
      <c r="P573" s="6">
        <v>43006.477256944447</v>
      </c>
      <c r="Q573" s="12" t="s">
        <v>1601</v>
      </c>
      <c r="R573" s="17" t="s">
        <v>1602</v>
      </c>
      <c r="S573" s="13" t="s">
        <v>1506</v>
      </c>
      <c r="T573" s="11"/>
      <c r="U573" s="10" t="str">
        <f>HYPERLINK("https://pbs.twimg.com/profile_images/913334716803186688/AFUK2T9e.jpg","View")</f>
        <v>View</v>
      </c>
    </row>
    <row r="574" spans="1:21" ht="71.400000000000006">
      <c r="A574" s="6">
        <v>43440.8746875</v>
      </c>
      <c r="B574" s="7" t="str">
        <f>HYPERLINK("https://twitter.com/LLSSerrano","@LLSSerrano")</f>
        <v>@LLSSerrano</v>
      </c>
      <c r="C574" s="8" t="s">
        <v>1953</v>
      </c>
      <c r="D574" s="9" t="s">
        <v>1954</v>
      </c>
      <c r="E574" s="10" t="str">
        <f>HYPERLINK("https://twitter.com/LLSSerrano/status/1070769733673328641","1070769733673328641")</f>
        <v>1070769733673328641</v>
      </c>
      <c r="F574" s="12" t="s">
        <v>1955</v>
      </c>
      <c r="G574" s="13" t="s">
        <v>1956</v>
      </c>
      <c r="H574" s="11"/>
      <c r="I574" s="14">
        <v>2</v>
      </c>
      <c r="J574" s="14">
        <v>3</v>
      </c>
      <c r="K574" s="15" t="str">
        <f>HYPERLINK("http://twitter.com/download/iphone","Twitter for iPhone")</f>
        <v>Twitter for iPhone</v>
      </c>
      <c r="L574" s="14">
        <v>3287</v>
      </c>
      <c r="M574" s="14">
        <v>4367</v>
      </c>
      <c r="N574" s="14">
        <v>50</v>
      </c>
      <c r="O574" s="16"/>
      <c r="P574" s="6">
        <v>40931.935324074075</v>
      </c>
      <c r="Q574" s="12" t="s">
        <v>1958</v>
      </c>
      <c r="R574" s="17" t="s">
        <v>1959</v>
      </c>
      <c r="S574" s="13" t="s">
        <v>1960</v>
      </c>
      <c r="T574" s="11"/>
      <c r="U574" s="10" t="str">
        <f>HYPERLINK("https://pbs.twimg.com/profile_images/946136551133728768/y4bO0i7P.jpg","View")</f>
        <v>View</v>
      </c>
    </row>
    <row r="575" spans="1:21" ht="40.799999999999997">
      <c r="A575" s="6">
        <v>43440.872777777782</v>
      </c>
      <c r="B575" s="7" t="str">
        <f>HYPERLINK("https://twitter.com/ivangarcia1993","@ivangarcia1993")</f>
        <v>@ivangarcia1993</v>
      </c>
      <c r="C575" s="8" t="s">
        <v>1961</v>
      </c>
      <c r="D575" s="9" t="s">
        <v>1962</v>
      </c>
      <c r="E575" s="10" t="str">
        <f>HYPERLINK("https://twitter.com/ivangarcia1993/status/1070769043945242626","1070769043945242626")</f>
        <v>1070769043945242626</v>
      </c>
      <c r="F575" s="13" t="s">
        <v>1963</v>
      </c>
      <c r="G575" s="13" t="s">
        <v>1964</v>
      </c>
      <c r="H575" s="11"/>
      <c r="I575" s="14">
        <v>0</v>
      </c>
      <c r="J575" s="14">
        <v>0</v>
      </c>
      <c r="K575" s="15" t="str">
        <f t="shared" ref="K575:K578" si="116">HYPERLINK("http://twitter.com/download/android","Twitter for Android")</f>
        <v>Twitter for Android</v>
      </c>
      <c r="L575" s="14">
        <v>304</v>
      </c>
      <c r="M575" s="14">
        <v>462</v>
      </c>
      <c r="N575" s="14">
        <v>3</v>
      </c>
      <c r="O575" s="16"/>
      <c r="P575" s="6">
        <v>40919.757951388892</v>
      </c>
      <c r="Q575" s="12" t="s">
        <v>1965</v>
      </c>
      <c r="R575" s="17" t="s">
        <v>1966</v>
      </c>
      <c r="S575" s="11"/>
      <c r="T575" s="11"/>
      <c r="U575" s="10" t="str">
        <f>HYPERLINK("https://pbs.twimg.com/profile_images/976914730630696960/Es5A_9kM.jpg","View")</f>
        <v>View</v>
      </c>
    </row>
    <row r="576" spans="1:21" ht="20.399999999999999">
      <c r="A576" s="6">
        <v>43440.871458333335</v>
      </c>
      <c r="B576" s="7" t="str">
        <f>HYPERLINK("https://twitter.com/chamademesimbad","@chamademesimbad")</f>
        <v>@chamademesimbad</v>
      </c>
      <c r="C576" s="8" t="s">
        <v>2637</v>
      </c>
      <c r="D576" s="9" t="s">
        <v>418</v>
      </c>
      <c r="E576" s="10" t="str">
        <f>HYPERLINK("https://twitter.com/chamademesimbad/status/1070768565253533697","1070768565253533697")</f>
        <v>1070768565253533697</v>
      </c>
      <c r="F576" s="13" t="s">
        <v>228</v>
      </c>
      <c r="G576" s="11"/>
      <c r="H576" s="11"/>
      <c r="I576" s="14">
        <v>8</v>
      </c>
      <c r="J576" s="14">
        <v>6</v>
      </c>
      <c r="K576" s="15" t="str">
        <f t="shared" si="116"/>
        <v>Twitter for Android</v>
      </c>
      <c r="L576" s="14">
        <v>7218</v>
      </c>
      <c r="M576" s="14">
        <v>6242</v>
      </c>
      <c r="N576" s="14">
        <v>153</v>
      </c>
      <c r="O576" s="16"/>
      <c r="P576" s="6">
        <v>39991.523506944446</v>
      </c>
      <c r="Q576" s="12" t="s">
        <v>2640</v>
      </c>
      <c r="R576" s="17" t="s">
        <v>2641</v>
      </c>
      <c r="S576" s="13" t="s">
        <v>2642</v>
      </c>
      <c r="T576" s="11"/>
      <c r="U576" s="10" t="str">
        <f>HYPERLINK("https://pbs.twimg.com/profile_images/812714590949769216/VYxnw7zT.jpg","View")</f>
        <v>View</v>
      </c>
    </row>
    <row r="577" spans="1:21" ht="61.2">
      <c r="A577" s="6">
        <v>43440.870694444442</v>
      </c>
      <c r="B577" s="7" t="str">
        <f>HYPERLINK("https://twitter.com/doguionrego","@doguionrego")</f>
        <v>@doguionrego</v>
      </c>
      <c r="C577" s="8" t="s">
        <v>756</v>
      </c>
      <c r="D577" s="9" t="s">
        <v>1967</v>
      </c>
      <c r="E577" s="10" t="str">
        <f>HYPERLINK("https://twitter.com/doguionrego/status/1070768286399373312","1070768286399373312")</f>
        <v>1070768286399373312</v>
      </c>
      <c r="F577" s="12" t="s">
        <v>1968</v>
      </c>
      <c r="G577" s="11"/>
      <c r="H577" s="11"/>
      <c r="I577" s="14">
        <v>0</v>
      </c>
      <c r="J577" s="14">
        <v>0</v>
      </c>
      <c r="K577" s="15" t="str">
        <f t="shared" si="116"/>
        <v>Twitter for Android</v>
      </c>
      <c r="L577" s="14">
        <v>4649</v>
      </c>
      <c r="M577" s="14">
        <v>4774</v>
      </c>
      <c r="N577" s="14">
        <v>9</v>
      </c>
      <c r="O577" s="16"/>
      <c r="P577" s="6">
        <v>42818.633599537032</v>
      </c>
      <c r="Q577" s="12" t="s">
        <v>137</v>
      </c>
      <c r="R577" s="17" t="s">
        <v>761</v>
      </c>
      <c r="S577" s="11"/>
      <c r="T577" s="11"/>
      <c r="U577" s="10" t="str">
        <f>HYPERLINK("https://pbs.twimg.com/profile_images/937615481602789376/OBa7YPsM.jpg","View")</f>
        <v>View</v>
      </c>
    </row>
    <row r="578" spans="1:21" ht="20.399999999999999">
      <c r="A578" s="6">
        <v>43440.870636574073</v>
      </c>
      <c r="B578" s="7" t="str">
        <f>HYPERLINK("https://twitter.com/efebon","@efebon")</f>
        <v>@efebon</v>
      </c>
      <c r="C578" s="8" t="s">
        <v>2645</v>
      </c>
      <c r="D578" s="9" t="s">
        <v>225</v>
      </c>
      <c r="E578" s="10" t="str">
        <f>HYPERLINK("https://twitter.com/efebon/status/1070768265935372290","1070768265935372290")</f>
        <v>1070768265935372290</v>
      </c>
      <c r="F578" s="13" t="s">
        <v>228</v>
      </c>
      <c r="G578" s="11"/>
      <c r="H578" s="11"/>
      <c r="I578" s="14">
        <v>0</v>
      </c>
      <c r="J578" s="14">
        <v>0</v>
      </c>
      <c r="K578" s="15" t="str">
        <f t="shared" si="116"/>
        <v>Twitter for Android</v>
      </c>
      <c r="L578" s="14">
        <v>455</v>
      </c>
      <c r="M578" s="14">
        <v>774</v>
      </c>
      <c r="N578" s="14">
        <v>57</v>
      </c>
      <c r="O578" s="16"/>
      <c r="P578" s="6">
        <v>40716.437303240738</v>
      </c>
      <c r="Q578" s="11"/>
      <c r="R578" s="18"/>
      <c r="S578" s="11"/>
      <c r="T578" s="11"/>
      <c r="U578" s="10" t="str">
        <f>HYPERLINK("https://pbs.twimg.com/profile_images/836573247852392449/Bak75FC7.jpg","View")</f>
        <v>View</v>
      </c>
    </row>
    <row r="579" spans="1:21" ht="30.6">
      <c r="A579" s="6">
        <v>43440.867337962962</v>
      </c>
      <c r="B579" s="7" t="str">
        <f>HYPERLINK("https://twitter.com/fdiaz_p","@fdiaz_p")</f>
        <v>@fdiaz_p</v>
      </c>
      <c r="C579" s="8" t="s">
        <v>1340</v>
      </c>
      <c r="D579" s="9" t="s">
        <v>1969</v>
      </c>
      <c r="E579" s="10" t="str">
        <f>HYPERLINK("https://twitter.com/fdiaz_p/status/1070767071661838336","1070767071661838336")</f>
        <v>1070767071661838336</v>
      </c>
      <c r="F579" s="13" t="s">
        <v>1970</v>
      </c>
      <c r="G579" s="11"/>
      <c r="H579" s="11"/>
      <c r="I579" s="14">
        <v>0</v>
      </c>
      <c r="J579" s="14">
        <v>0</v>
      </c>
      <c r="K579" s="15" t="str">
        <f>HYPERLINK("http://twitter.com/download/iphone","Twitter for iPhone")</f>
        <v>Twitter for iPhone</v>
      </c>
      <c r="L579" s="14">
        <v>1025</v>
      </c>
      <c r="M579" s="14">
        <v>1125</v>
      </c>
      <c r="N579" s="14">
        <v>20</v>
      </c>
      <c r="O579" s="16"/>
      <c r="P579" s="6">
        <v>40922.892210648148</v>
      </c>
      <c r="Q579" s="12" t="s">
        <v>1341</v>
      </c>
      <c r="R579" s="17" t="s">
        <v>1342</v>
      </c>
      <c r="S579" s="13" t="s">
        <v>1343</v>
      </c>
      <c r="T579" s="11"/>
      <c r="U579" s="10" t="str">
        <f>HYPERLINK("https://pbs.twimg.com/profile_images/1004080179650625537/GPWzjyZ_.jpg","View")</f>
        <v>View</v>
      </c>
    </row>
    <row r="580" spans="1:21" ht="51">
      <c r="A580" s="6">
        <v>43440.863506944443</v>
      </c>
      <c r="B580" s="7" t="str">
        <f>HYPERLINK("https://twitter.com/qqqqetru","@qqqqetru")</f>
        <v>@qqqqetru</v>
      </c>
      <c r="C580" s="8" t="s">
        <v>2649</v>
      </c>
      <c r="D580" s="9" t="s">
        <v>2651</v>
      </c>
      <c r="E580" s="10" t="str">
        <f>HYPERLINK("https://twitter.com/qqqqetru/status/1070765685410856962","1070765685410856962")</f>
        <v>1070765685410856962</v>
      </c>
      <c r="F580" s="11"/>
      <c r="G580" s="13" t="s">
        <v>2652</v>
      </c>
      <c r="H580" s="11"/>
      <c r="I580" s="14">
        <v>6</v>
      </c>
      <c r="J580" s="14">
        <v>11</v>
      </c>
      <c r="K580" s="15" t="str">
        <f>HYPERLINK("http://twitter.com/download/android","Twitter for Android")</f>
        <v>Twitter for Android</v>
      </c>
      <c r="L580" s="14">
        <v>649</v>
      </c>
      <c r="M580" s="14">
        <v>1194</v>
      </c>
      <c r="N580" s="14">
        <v>2</v>
      </c>
      <c r="O580" s="16"/>
      <c r="P580" s="6">
        <v>40749.437719907408</v>
      </c>
      <c r="Q580" s="11"/>
      <c r="R580" s="18"/>
      <c r="S580" s="11"/>
      <c r="T580" s="11"/>
      <c r="U580" s="10" t="str">
        <f>HYPERLINK("https://pbs.twimg.com/profile_images/1069734331780870144/d_KYpBFy.jpg","View")</f>
        <v>View</v>
      </c>
    </row>
    <row r="581" spans="1:21" ht="40.799999999999997">
      <c r="A581" s="6">
        <v>43440.862303240741</v>
      </c>
      <c r="B581" s="7" t="str">
        <f>HYPERLINK("https://twitter.com/TRAGATEL0","@TRAGATEL0")</f>
        <v>@TRAGATEL0</v>
      </c>
      <c r="C581" s="8" t="s">
        <v>2656</v>
      </c>
      <c r="D581" s="9" t="s">
        <v>2657</v>
      </c>
      <c r="E581" s="10" t="str">
        <f>HYPERLINK("https://twitter.com/TRAGATEL0/status/1070765247319937024","1070765247319937024")</f>
        <v>1070765247319937024</v>
      </c>
      <c r="F581" s="13" t="s">
        <v>2658</v>
      </c>
      <c r="G581" s="11"/>
      <c r="H581" s="11"/>
      <c r="I581" s="14">
        <v>3</v>
      </c>
      <c r="J581" s="14">
        <v>2</v>
      </c>
      <c r="K581" s="15" t="str">
        <f>HYPERLINK("https://www.google.com/","Google")</f>
        <v>Google</v>
      </c>
      <c r="L581" s="14">
        <v>2867</v>
      </c>
      <c r="M581" s="14">
        <v>3352</v>
      </c>
      <c r="N581" s="14">
        <v>50</v>
      </c>
      <c r="O581" s="16"/>
      <c r="P581" s="6">
        <v>42600.667349537034</v>
      </c>
      <c r="Q581" s="11"/>
      <c r="R581" s="17" t="s">
        <v>2661</v>
      </c>
      <c r="S581" s="13" t="s">
        <v>2662</v>
      </c>
      <c r="T581" s="11"/>
      <c r="U581" s="10" t="str">
        <f>HYPERLINK("https://pbs.twimg.com/profile_images/991752424602980352/Tbez7IZi.jpg","View")</f>
        <v>View</v>
      </c>
    </row>
    <row r="582" spans="1:21" ht="20.399999999999999">
      <c r="A582" s="6">
        <v>43440.860636574071</v>
      </c>
      <c r="B582" s="7" t="str">
        <f>HYPERLINK("https://twitter.com/rafaelbalaguer7","@rafaelbalaguer7")</f>
        <v>@rafaelbalaguer7</v>
      </c>
      <c r="C582" s="8" t="s">
        <v>2665</v>
      </c>
      <c r="D582" s="9" t="s">
        <v>2666</v>
      </c>
      <c r="E582" s="10" t="str">
        <f>HYPERLINK("https://twitter.com/rafaelbalaguer7/status/1070764643642236928","1070764643642236928")</f>
        <v>1070764643642236928</v>
      </c>
      <c r="F582" s="13" t="s">
        <v>2667</v>
      </c>
      <c r="G582" s="11"/>
      <c r="H582" s="11"/>
      <c r="I582" s="14">
        <v>0</v>
      </c>
      <c r="J582" s="14">
        <v>0</v>
      </c>
      <c r="K582" s="15" t="str">
        <f>HYPERLINK("http://twitter.com","Twitter Web Client")</f>
        <v>Twitter Web Client</v>
      </c>
      <c r="L582" s="14">
        <v>2470</v>
      </c>
      <c r="M582" s="14">
        <v>2571</v>
      </c>
      <c r="N582" s="14">
        <v>11</v>
      </c>
      <c r="O582" s="16"/>
      <c r="P582" s="6">
        <v>42244.710243055553</v>
      </c>
      <c r="Q582" s="12" t="s">
        <v>2668</v>
      </c>
      <c r="R582" s="17" t="s">
        <v>2669</v>
      </c>
      <c r="S582" s="11"/>
      <c r="T582" s="11"/>
      <c r="U582" s="10" t="str">
        <f>HYPERLINK("https://pbs.twimg.com/profile_images/988782521973387264/4ki7Vu-I.jpg","View")</f>
        <v>View</v>
      </c>
    </row>
    <row r="583" spans="1:21" ht="20.399999999999999">
      <c r="A583" s="6">
        <v>43440.860162037032</v>
      </c>
      <c r="B583" s="7" t="str">
        <f>HYPERLINK("https://twitter.com/JordiAndreu_","@JordiAndreu_")</f>
        <v>@JordiAndreu_</v>
      </c>
      <c r="C583" s="8" t="s">
        <v>2671</v>
      </c>
      <c r="D583" s="9" t="s">
        <v>2672</v>
      </c>
      <c r="E583" s="10" t="str">
        <f>HYPERLINK("https://twitter.com/JordiAndreu_/status/1070764470828437504","1070764470828437504")</f>
        <v>1070764470828437504</v>
      </c>
      <c r="F583" s="11"/>
      <c r="G583" s="11"/>
      <c r="H583" s="11"/>
      <c r="I583" s="14">
        <v>2</v>
      </c>
      <c r="J583" s="14">
        <v>1</v>
      </c>
      <c r="K583" s="15" t="str">
        <f>HYPERLINK("http://twitter.com/download/android","Twitter for Android")</f>
        <v>Twitter for Android</v>
      </c>
      <c r="L583" s="14">
        <v>284</v>
      </c>
      <c r="M583" s="14">
        <v>233</v>
      </c>
      <c r="N583" s="14">
        <v>23</v>
      </c>
      <c r="O583" s="16"/>
      <c r="P583" s="6">
        <v>40915.912777777776</v>
      </c>
      <c r="Q583" s="12" t="s">
        <v>2675</v>
      </c>
      <c r="R583" s="17" t="s">
        <v>2676</v>
      </c>
      <c r="S583" s="11"/>
      <c r="T583" s="11"/>
      <c r="U583" s="10" t="str">
        <f>HYPERLINK("https://pbs.twimg.com/profile_images/1069330717908307969/GLIX_shZ.jpg","View")</f>
        <v>View</v>
      </c>
    </row>
    <row r="584" spans="1:21" ht="61.2">
      <c r="A584" s="6">
        <v>43440.860127314816</v>
      </c>
      <c r="B584" s="7" t="str">
        <f>HYPERLINK("https://twitter.com/CiudadanosCs","@CiudadanosCs")</f>
        <v>@CiudadanosCs</v>
      </c>
      <c r="C584" s="8" t="s">
        <v>489</v>
      </c>
      <c r="D584" s="9" t="s">
        <v>1976</v>
      </c>
      <c r="E584" s="10" t="str">
        <f>HYPERLINK("https://twitter.com/CiudadanosCs/status/1070764460556644353","1070764460556644353")</f>
        <v>1070764460556644353</v>
      </c>
      <c r="F584" s="11"/>
      <c r="G584" s="13" t="s">
        <v>810</v>
      </c>
      <c r="H584" s="11"/>
      <c r="I584" s="14">
        <v>182</v>
      </c>
      <c r="J584" s="14">
        <v>323</v>
      </c>
      <c r="K584" s="15" t="str">
        <f>HYPERLINK("https://studio.twitter.com","Twitter Media Studio")</f>
        <v>Twitter Media Studio</v>
      </c>
      <c r="L584" s="14">
        <v>490821</v>
      </c>
      <c r="M584" s="14">
        <v>93557</v>
      </c>
      <c r="N584" s="14">
        <v>3338</v>
      </c>
      <c r="O584" s="19" t="s">
        <v>42</v>
      </c>
      <c r="P584" s="6">
        <v>39828.753460648149</v>
      </c>
      <c r="Q584" s="12" t="s">
        <v>137</v>
      </c>
      <c r="R584" s="17" t="s">
        <v>492</v>
      </c>
      <c r="S584" s="13" t="s">
        <v>493</v>
      </c>
      <c r="T584" s="11"/>
      <c r="U584" s="10" t="str">
        <f>HYPERLINK("https://pbs.twimg.com/profile_images/1053554096161075200/1z77_zBZ.jpg","View")</f>
        <v>View</v>
      </c>
    </row>
    <row r="585" spans="1:21" ht="20.399999999999999">
      <c r="A585" s="6">
        <v>43440.860034722224</v>
      </c>
      <c r="B585" s="7" t="str">
        <f>HYPERLINK("https://twitter.com/rafaelbalaguer7","@rafaelbalaguer7")</f>
        <v>@rafaelbalaguer7</v>
      </c>
      <c r="C585" s="8" t="s">
        <v>2665</v>
      </c>
      <c r="D585" s="9" t="s">
        <v>2421</v>
      </c>
      <c r="E585" s="10" t="str">
        <f>HYPERLINK("https://twitter.com/rafaelbalaguer7/status/1070764426847027200","1070764426847027200")</f>
        <v>1070764426847027200</v>
      </c>
      <c r="F585" s="13" t="s">
        <v>2095</v>
      </c>
      <c r="G585" s="11"/>
      <c r="H585" s="11"/>
      <c r="I585" s="14">
        <v>0</v>
      </c>
      <c r="J585" s="14">
        <v>0</v>
      </c>
      <c r="K585" s="15" t="str">
        <f>HYPERLINK("http://twitter.com","Twitter Web Client")</f>
        <v>Twitter Web Client</v>
      </c>
      <c r="L585" s="14">
        <v>2470</v>
      </c>
      <c r="M585" s="14">
        <v>2571</v>
      </c>
      <c r="N585" s="14">
        <v>11</v>
      </c>
      <c r="O585" s="16"/>
      <c r="P585" s="6">
        <v>42244.710243055553</v>
      </c>
      <c r="Q585" s="12" t="s">
        <v>2668</v>
      </c>
      <c r="R585" s="17" t="s">
        <v>2669</v>
      </c>
      <c r="S585" s="11"/>
      <c r="T585" s="11"/>
      <c r="U585" s="10" t="str">
        <f>HYPERLINK("https://pbs.twimg.com/profile_images/988782521973387264/4ki7Vu-I.jpg","View")</f>
        <v>View</v>
      </c>
    </row>
    <row r="586" spans="1:21" ht="20.399999999999999">
      <c r="A586" s="6">
        <v>43440.858078703706</v>
      </c>
      <c r="B586" s="7" t="str">
        <f>HYPERLINK("https://twitter.com/LosGenoveses","@LosGenoveses")</f>
        <v>@LosGenoveses</v>
      </c>
      <c r="C586" s="8" t="s">
        <v>2679</v>
      </c>
      <c r="D586" s="9" t="s">
        <v>2680</v>
      </c>
      <c r="E586" s="10" t="str">
        <f>HYPERLINK("https://twitter.com/LosGenoveses/status/1070763715996323842","1070763715996323842")</f>
        <v>1070763715996323842</v>
      </c>
      <c r="F586" s="13" t="s">
        <v>228</v>
      </c>
      <c r="G586" s="11"/>
      <c r="H586" s="11"/>
      <c r="I586" s="14">
        <v>133</v>
      </c>
      <c r="J586" s="14">
        <v>68</v>
      </c>
      <c r="K586" s="15" t="str">
        <f>HYPERLINK("http://twitter.com/download/iphone","Twitter for iPhone")</f>
        <v>Twitter for iPhone</v>
      </c>
      <c r="L586" s="14">
        <v>30864</v>
      </c>
      <c r="M586" s="14">
        <v>2037</v>
      </c>
      <c r="N586" s="14">
        <v>426</v>
      </c>
      <c r="O586" s="16"/>
      <c r="P586" s="6">
        <v>40714.927210648151</v>
      </c>
      <c r="Q586" s="12" t="s">
        <v>2681</v>
      </c>
      <c r="R586" s="17" t="s">
        <v>2682</v>
      </c>
      <c r="S586" s="13" t="s">
        <v>2683</v>
      </c>
      <c r="T586" s="11"/>
      <c r="U586" s="10" t="str">
        <f>HYPERLINK("https://pbs.twimg.com/profile_images/1028256150284894209/mF836oJq.jpg","View")</f>
        <v>View</v>
      </c>
    </row>
    <row r="587" spans="1:21" ht="40.799999999999997">
      <c r="A587" s="6">
        <v>43440.856898148151</v>
      </c>
      <c r="B587" s="7" t="str">
        <f>HYPERLINK("https://twitter.com/jasalo54","@jasalo54")</f>
        <v>@jasalo54</v>
      </c>
      <c r="C587" s="8" t="s">
        <v>682</v>
      </c>
      <c r="D587" s="9" t="s">
        <v>225</v>
      </c>
      <c r="E587" s="10" t="str">
        <f>HYPERLINK("https://twitter.com/jasalo54/status/1070763290186407938","1070763290186407938")</f>
        <v>1070763290186407938</v>
      </c>
      <c r="F587" s="13" t="s">
        <v>228</v>
      </c>
      <c r="G587" s="11"/>
      <c r="H587" s="11"/>
      <c r="I587" s="14">
        <v>1</v>
      </c>
      <c r="J587" s="14">
        <v>0</v>
      </c>
      <c r="K587" s="15" t="str">
        <f>HYPERLINK("http://twitter.com","Twitter Web Client")</f>
        <v>Twitter Web Client</v>
      </c>
      <c r="L587" s="14">
        <v>363</v>
      </c>
      <c r="M587" s="14">
        <v>1793</v>
      </c>
      <c r="N587" s="14">
        <v>6</v>
      </c>
      <c r="O587" s="16"/>
      <c r="P587" s="6">
        <v>42004.016145833331</v>
      </c>
      <c r="Q587" s="12" t="s">
        <v>687</v>
      </c>
      <c r="R587" s="17" t="s">
        <v>688</v>
      </c>
      <c r="S587" s="11"/>
      <c r="T587" s="11"/>
      <c r="U587" s="10" t="str">
        <f>HYPERLINK("https://pbs.twimg.com/profile_images/852286523483582464/Tj1M7Lqo.jpg","View")</f>
        <v>View</v>
      </c>
    </row>
    <row r="588" spans="1:21" ht="61.2">
      <c r="A588" s="6">
        <v>43440.852384259255</v>
      </c>
      <c r="B588" s="7" t="str">
        <f>HYPERLINK("https://twitter.com/NACHOTECNOLOGIA","@NACHOTECNOLOGIA")</f>
        <v>@NACHOTECNOLOGIA</v>
      </c>
      <c r="C588" s="8" t="s">
        <v>1302</v>
      </c>
      <c r="D588" s="9" t="s">
        <v>1977</v>
      </c>
      <c r="E588" s="10" t="str">
        <f>HYPERLINK("https://twitter.com/NACHOTECNOLOGIA/status/1070761654420414471","1070761654420414471")</f>
        <v>1070761654420414471</v>
      </c>
      <c r="F588" s="13" t="s">
        <v>1980</v>
      </c>
      <c r="G588" s="13" t="s">
        <v>1981</v>
      </c>
      <c r="H588" s="11"/>
      <c r="I588" s="14">
        <v>0</v>
      </c>
      <c r="J588" s="14">
        <v>0</v>
      </c>
      <c r="K588" s="15" t="str">
        <f t="shared" ref="K588:K590" si="117">HYPERLINK("http://twitter.com/download/android","Twitter for Android")</f>
        <v>Twitter for Android</v>
      </c>
      <c r="L588" s="14">
        <v>404</v>
      </c>
      <c r="M588" s="14">
        <v>507</v>
      </c>
      <c r="N588" s="14">
        <v>23</v>
      </c>
      <c r="O588" s="16"/>
      <c r="P588" s="6">
        <v>40896.908252314817</v>
      </c>
      <c r="Q588" s="11"/>
      <c r="R588" s="17" t="s">
        <v>1310</v>
      </c>
      <c r="S588" s="11"/>
      <c r="T588" s="11"/>
      <c r="U588" s="10" t="str">
        <f>HYPERLINK("https://pbs.twimg.com/profile_images/959424995175948288/MtkGRVgd.jpg","View")</f>
        <v>View</v>
      </c>
    </row>
    <row r="589" spans="1:21" ht="51">
      <c r="A589" s="6">
        <v>43440.851840277777</v>
      </c>
      <c r="B589" s="7" t="str">
        <f>HYPERLINK("https://twitter.com/Figarodixit","@Figarodixit")</f>
        <v>@Figarodixit</v>
      </c>
      <c r="C589" s="8" t="s">
        <v>1985</v>
      </c>
      <c r="D589" s="9" t="s">
        <v>1986</v>
      </c>
      <c r="E589" s="10" t="str">
        <f>HYPERLINK("https://twitter.com/Figarodixit/status/1070761457581731840","1070761457581731840")</f>
        <v>1070761457581731840</v>
      </c>
      <c r="F589" s="13" t="s">
        <v>1987</v>
      </c>
      <c r="G589" s="11"/>
      <c r="H589" s="11"/>
      <c r="I589" s="14">
        <v>0</v>
      </c>
      <c r="J589" s="14">
        <v>0</v>
      </c>
      <c r="K589" s="15" t="str">
        <f t="shared" si="117"/>
        <v>Twitter for Android</v>
      </c>
      <c r="L589" s="14">
        <v>443</v>
      </c>
      <c r="M589" s="14">
        <v>831</v>
      </c>
      <c r="N589" s="14">
        <v>1</v>
      </c>
      <c r="O589" s="16"/>
      <c r="P589" s="6">
        <v>41299.983310185184</v>
      </c>
      <c r="Q589" s="11"/>
      <c r="R589" s="18"/>
      <c r="S589" s="11"/>
      <c r="T589" s="11"/>
      <c r="U589" s="10" t="str">
        <f>HYPERLINK("https://pbs.twimg.com/profile_images/3171067429/47937b36ca98570eb1f9f6e5ed055255.jpeg","View")</f>
        <v>View</v>
      </c>
    </row>
    <row r="590" spans="1:21" ht="40.799999999999997">
      <c r="A590" s="6">
        <v>43440.851435185185</v>
      </c>
      <c r="B590" s="7" t="str">
        <f>HYPERLINK("https://twitter.com/Eloytxo","@Eloytxo")</f>
        <v>@Eloytxo</v>
      </c>
      <c r="C590" s="8" t="s">
        <v>2694</v>
      </c>
      <c r="D590" s="9" t="s">
        <v>2695</v>
      </c>
      <c r="E590" s="10" t="str">
        <f>HYPERLINK("https://twitter.com/Eloytxo/status/1070761307081707521","1070761307081707521")</f>
        <v>1070761307081707521</v>
      </c>
      <c r="F590" s="11"/>
      <c r="G590" s="11"/>
      <c r="H590" s="11"/>
      <c r="I590" s="14">
        <v>0</v>
      </c>
      <c r="J590" s="14">
        <v>3</v>
      </c>
      <c r="K590" s="15" t="str">
        <f t="shared" si="117"/>
        <v>Twitter for Android</v>
      </c>
      <c r="L590" s="14">
        <v>189</v>
      </c>
      <c r="M590" s="14">
        <v>428</v>
      </c>
      <c r="N590" s="14">
        <v>1</v>
      </c>
      <c r="O590" s="16"/>
      <c r="P590" s="6">
        <v>40677.4378125</v>
      </c>
      <c r="Q590" s="12" t="s">
        <v>2697</v>
      </c>
      <c r="R590" s="17" t="s">
        <v>2698</v>
      </c>
      <c r="S590" s="11"/>
      <c r="T590" s="11"/>
      <c r="U590" s="10" t="str">
        <f>HYPERLINK("https://pbs.twimg.com/profile_images/1014993998698766337/qpBecTMr.jpg","View")</f>
        <v>View</v>
      </c>
    </row>
    <row r="591" spans="1:21" ht="61.2">
      <c r="A591" s="6">
        <v>43440.851018518515</v>
      </c>
      <c r="B591" s="7" t="str">
        <f>HYPERLINK("https://twitter.com/eraser","@eraser")</f>
        <v>@eraser</v>
      </c>
      <c r="C591" s="8" t="s">
        <v>1988</v>
      </c>
      <c r="D591" s="9" t="s">
        <v>1989</v>
      </c>
      <c r="E591" s="10" t="str">
        <f>HYPERLINK("https://twitter.com/eraser/status/1070761156174888969","1070761156174888969")</f>
        <v>1070761156174888969</v>
      </c>
      <c r="F591" s="11"/>
      <c r="G591" s="13" t="s">
        <v>1991</v>
      </c>
      <c r="H591" s="11"/>
      <c r="I591" s="14">
        <v>5</v>
      </c>
      <c r="J591" s="14">
        <v>0</v>
      </c>
      <c r="K591" s="15" t="str">
        <f>HYPERLINK("https://www.hootsuite.com","Hootsuite Inc.")</f>
        <v>Hootsuite Inc.</v>
      </c>
      <c r="L591" s="14">
        <v>24358</v>
      </c>
      <c r="M591" s="14">
        <v>12896</v>
      </c>
      <c r="N591" s="14">
        <v>2123</v>
      </c>
      <c r="O591" s="16"/>
      <c r="P591" s="6">
        <v>39173.592187499999</v>
      </c>
      <c r="Q591" s="12" t="s">
        <v>477</v>
      </c>
      <c r="R591" s="17" t="s">
        <v>1995</v>
      </c>
      <c r="S591" s="13" t="s">
        <v>1996</v>
      </c>
      <c r="T591" s="11"/>
      <c r="U591" s="10" t="str">
        <f>HYPERLINK("https://pbs.twimg.com/profile_images/994702690893664262/0BxqBxIU.jpg","View")</f>
        <v>View</v>
      </c>
    </row>
    <row r="592" spans="1:21" ht="13.2">
      <c r="A592" s="6">
        <v>43440.848182870366</v>
      </c>
      <c r="B592" s="7" t="str">
        <f>HYPERLINK("https://twitter.com/albertoarregui_","@albertoarregui_")</f>
        <v>@albertoarregui_</v>
      </c>
      <c r="C592" s="8" t="s">
        <v>2703</v>
      </c>
      <c r="D592" s="9" t="s">
        <v>534</v>
      </c>
      <c r="E592" s="10" t="str">
        <f>HYPERLINK("https://twitter.com/albertoarregui_/status/1070760130235564033","1070760130235564033")</f>
        <v>1070760130235564033</v>
      </c>
      <c r="F592" s="13" t="s">
        <v>535</v>
      </c>
      <c r="G592" s="11"/>
      <c r="H592" s="11"/>
      <c r="I592" s="14">
        <v>3</v>
      </c>
      <c r="J592" s="14">
        <v>2</v>
      </c>
      <c r="K592" s="15" t="str">
        <f>HYPERLINK("http://twitter.com","Twitter Web Client")</f>
        <v>Twitter Web Client</v>
      </c>
      <c r="L592" s="14">
        <v>1456</v>
      </c>
      <c r="M592" s="14">
        <v>2842</v>
      </c>
      <c r="N592" s="14">
        <v>77</v>
      </c>
      <c r="O592" s="16"/>
      <c r="P592" s="6">
        <v>41358.432847222226</v>
      </c>
      <c r="Q592" s="12" t="s">
        <v>2705</v>
      </c>
      <c r="R592" s="17" t="s">
        <v>2706</v>
      </c>
      <c r="S592" s="11"/>
      <c r="T592" s="11"/>
      <c r="U592" s="10" t="str">
        <f>HYPERLINK("https://pbs.twimg.com/profile_images/1060900578186981379/InSMAxNC.jpg","View")</f>
        <v>View</v>
      </c>
    </row>
    <row r="593" spans="1:21" ht="51">
      <c r="A593" s="6">
        <v>43440.847337962958</v>
      </c>
      <c r="B593" s="7" t="str">
        <f>HYPERLINK("https://twitter.com/CsRegionMurcia","@CsRegionMurcia")</f>
        <v>@CsRegionMurcia</v>
      </c>
      <c r="C593" s="8" t="s">
        <v>817</v>
      </c>
      <c r="D593" s="9" t="s">
        <v>2001</v>
      </c>
      <c r="E593" s="10" t="str">
        <f>HYPERLINK("https://twitter.com/CsRegionMurcia/status/1070759823107592192","1070759823107592192")</f>
        <v>1070759823107592192</v>
      </c>
      <c r="F593" s="11"/>
      <c r="G593" s="13" t="s">
        <v>2004</v>
      </c>
      <c r="H593" s="11"/>
      <c r="I593" s="14">
        <v>9</v>
      </c>
      <c r="J593" s="14">
        <v>8</v>
      </c>
      <c r="K593" s="15" t="str">
        <f>HYPERLINK("https://www.hootsuite.com","Hootsuite Inc.")</f>
        <v>Hootsuite Inc.</v>
      </c>
      <c r="L593" s="14">
        <v>6245</v>
      </c>
      <c r="M593" s="14">
        <v>1107</v>
      </c>
      <c r="N593" s="14">
        <v>96</v>
      </c>
      <c r="O593" s="19" t="s">
        <v>42</v>
      </c>
      <c r="P593" s="6">
        <v>40745.431666666671</v>
      </c>
      <c r="Q593" s="12" t="s">
        <v>820</v>
      </c>
      <c r="R593" s="17" t="s">
        <v>821</v>
      </c>
      <c r="S593" s="13" t="s">
        <v>822</v>
      </c>
      <c r="T593" s="11"/>
      <c r="U593" s="10" t="str">
        <f>HYPERLINK("https://pbs.twimg.com/profile_images/1053559144299614208/SFwaZPxU.jpg","View")</f>
        <v>View</v>
      </c>
    </row>
    <row r="594" spans="1:21" ht="30.6">
      <c r="A594" s="6">
        <v>43440.845254629632</v>
      </c>
      <c r="B594" s="7" t="str">
        <f>HYPERLINK("https://twitter.com/hofmo_alexandre","@hofmo_alexandre")</f>
        <v>@hofmo_alexandre</v>
      </c>
      <c r="C594" s="8" t="s">
        <v>2008</v>
      </c>
      <c r="D594" s="9" t="s">
        <v>2009</v>
      </c>
      <c r="E594" s="10" t="str">
        <f>HYPERLINK("https://twitter.com/hofmo_alexandre/status/1070759070204878849","1070759070204878849")</f>
        <v>1070759070204878849</v>
      </c>
      <c r="F594" s="13" t="s">
        <v>2011</v>
      </c>
      <c r="G594" s="11"/>
      <c r="H594" s="11"/>
      <c r="I594" s="14">
        <v>0</v>
      </c>
      <c r="J594" s="14">
        <v>0</v>
      </c>
      <c r="K594" s="15" t="str">
        <f>HYPERLINK("http://twitter.com/download/iphone","Twitter for iPhone")</f>
        <v>Twitter for iPhone</v>
      </c>
      <c r="L594" s="14">
        <v>59</v>
      </c>
      <c r="M594" s="14">
        <v>92</v>
      </c>
      <c r="N594" s="14">
        <v>0</v>
      </c>
      <c r="O594" s="16"/>
      <c r="P594" s="6">
        <v>43387.842870370368</v>
      </c>
      <c r="Q594" s="11"/>
      <c r="R594" s="17" t="s">
        <v>2013</v>
      </c>
      <c r="S594" s="11"/>
      <c r="T594" s="11"/>
      <c r="U594" s="10" t="str">
        <f>HYPERLINK("https://pbs.twimg.com/profile_images/1051537188876365824/mG-96XwR.jpg","View")</f>
        <v>View</v>
      </c>
    </row>
    <row r="595" spans="1:21" ht="30.6">
      <c r="A595" s="6">
        <v>43440.844363425931</v>
      </c>
      <c r="B595" s="7" t="str">
        <f>HYPERLINK("https://twitter.com/carrillo_manolo","@carrillo_manolo")</f>
        <v>@carrillo_manolo</v>
      </c>
      <c r="C595" s="8" t="s">
        <v>2016</v>
      </c>
      <c r="D595" s="9" t="s">
        <v>2017</v>
      </c>
      <c r="E595" s="10" t="str">
        <f>HYPERLINK("https://twitter.com/carrillo_manolo/status/1070758744303255553","1070758744303255553")</f>
        <v>1070758744303255553</v>
      </c>
      <c r="F595" s="11"/>
      <c r="G595" s="11"/>
      <c r="H595" s="11"/>
      <c r="I595" s="14">
        <v>0</v>
      </c>
      <c r="J595" s="14">
        <v>0</v>
      </c>
      <c r="K595" s="15" t="str">
        <f t="shared" ref="K595:K597" si="118">HYPERLINK("http://twitter.com","Twitter Web Client")</f>
        <v>Twitter Web Client</v>
      </c>
      <c r="L595" s="14">
        <v>230</v>
      </c>
      <c r="M595" s="14">
        <v>355</v>
      </c>
      <c r="N595" s="14">
        <v>5</v>
      </c>
      <c r="O595" s="16"/>
      <c r="P595" s="6">
        <v>40884.822743055556</v>
      </c>
      <c r="Q595" s="12" t="s">
        <v>2024</v>
      </c>
      <c r="R595" s="17" t="s">
        <v>2025</v>
      </c>
      <c r="S595" s="11"/>
      <c r="T595" s="11"/>
      <c r="U595" s="10" t="str">
        <f>HYPERLINK("https://pbs.twimg.com/profile_images/1679401912/image.jpg","View")</f>
        <v>View</v>
      </c>
    </row>
    <row r="596" spans="1:21" ht="40.799999999999997">
      <c r="A596" s="6">
        <v>43440.844328703708</v>
      </c>
      <c r="B596" s="7" t="str">
        <f>HYPERLINK("https://twitter.com/El_Plural","@El_Plural")</f>
        <v>@El_Plural</v>
      </c>
      <c r="C596" s="8" t="s">
        <v>884</v>
      </c>
      <c r="D596" s="9" t="s">
        <v>2716</v>
      </c>
      <c r="E596" s="10" t="str">
        <f>HYPERLINK("https://twitter.com/El_Plural/status/1070758735528779776","1070758735528779776")</f>
        <v>1070758735528779776</v>
      </c>
      <c r="F596" s="13" t="s">
        <v>228</v>
      </c>
      <c r="G596" s="11"/>
      <c r="H596" s="11"/>
      <c r="I596" s="14">
        <v>6</v>
      </c>
      <c r="J596" s="14">
        <v>2</v>
      </c>
      <c r="K596" s="15" t="str">
        <f t="shared" si="118"/>
        <v>Twitter Web Client</v>
      </c>
      <c r="L596" s="14">
        <v>72031</v>
      </c>
      <c r="M596" s="14">
        <v>1650</v>
      </c>
      <c r="N596" s="14">
        <v>2018</v>
      </c>
      <c r="O596" s="16"/>
      <c r="P596" s="6">
        <v>40351.51053240741</v>
      </c>
      <c r="Q596" s="12" t="s">
        <v>137</v>
      </c>
      <c r="R596" s="17" t="s">
        <v>889</v>
      </c>
      <c r="S596" s="13" t="s">
        <v>890</v>
      </c>
      <c r="T596" s="11"/>
      <c r="U596" s="10" t="str">
        <f>HYPERLINK("https://pbs.twimg.com/profile_images/1017707018138857473/kUt8X2tn.jpg","View")</f>
        <v>View</v>
      </c>
    </row>
    <row r="597" spans="1:21" ht="20.399999999999999">
      <c r="A597" s="6">
        <v>43440.843321759261</v>
      </c>
      <c r="B597" s="7" t="str">
        <f>HYPERLINK("https://twitter.com/albertoarregui_","@albertoarregui_")</f>
        <v>@albertoarregui_</v>
      </c>
      <c r="C597" s="8" t="s">
        <v>2703</v>
      </c>
      <c r="D597" s="9" t="s">
        <v>2719</v>
      </c>
      <c r="E597" s="10" t="str">
        <f>HYPERLINK("https://twitter.com/albertoarregui_/status/1070758369542070272","1070758369542070272")</f>
        <v>1070758369542070272</v>
      </c>
      <c r="F597" s="13" t="s">
        <v>2240</v>
      </c>
      <c r="G597" s="11"/>
      <c r="H597" s="11"/>
      <c r="I597" s="14">
        <v>0</v>
      </c>
      <c r="J597" s="14">
        <v>1</v>
      </c>
      <c r="K597" s="15" t="str">
        <f t="shared" si="118"/>
        <v>Twitter Web Client</v>
      </c>
      <c r="L597" s="14">
        <v>1456</v>
      </c>
      <c r="M597" s="14">
        <v>2842</v>
      </c>
      <c r="N597" s="14">
        <v>77</v>
      </c>
      <c r="O597" s="16"/>
      <c r="P597" s="6">
        <v>41358.432847222226</v>
      </c>
      <c r="Q597" s="12" t="s">
        <v>2705</v>
      </c>
      <c r="R597" s="17" t="s">
        <v>2706</v>
      </c>
      <c r="S597" s="11"/>
      <c r="T597" s="11"/>
      <c r="U597" s="10" t="str">
        <f>HYPERLINK("https://pbs.twimg.com/profile_images/1060900578186981379/InSMAxNC.jpg","View")</f>
        <v>View</v>
      </c>
    </row>
    <row r="598" spans="1:21" ht="40.799999999999997">
      <c r="A598" s="6">
        <v>43440.842719907407</v>
      </c>
      <c r="B598" s="7" t="str">
        <f>HYPERLINK("https://twitter.com/diego__clemente","@diego__clemente")</f>
        <v>@diego__clemente</v>
      </c>
      <c r="C598" s="8" t="s">
        <v>2026</v>
      </c>
      <c r="D598" s="9" t="s">
        <v>2027</v>
      </c>
      <c r="E598" s="10" t="str">
        <f>HYPERLINK("https://twitter.com/diego__clemente/status/1070758152000466945","1070758152000466945")</f>
        <v>1070758152000466945</v>
      </c>
      <c r="F598" s="13" t="s">
        <v>535</v>
      </c>
      <c r="G598" s="11"/>
      <c r="H598" s="11"/>
      <c r="I598" s="14">
        <v>17</v>
      </c>
      <c r="J598" s="14">
        <v>15</v>
      </c>
      <c r="K598" s="15" t="str">
        <f t="shared" ref="K598:K599" si="119">HYPERLINK("http://twitter.com/download/iphone","Twitter for iPhone")</f>
        <v>Twitter for iPhone</v>
      </c>
      <c r="L598" s="14">
        <v>3394</v>
      </c>
      <c r="M598" s="14">
        <v>1716</v>
      </c>
      <c r="N598" s="14">
        <v>81</v>
      </c>
      <c r="O598" s="19" t="s">
        <v>42</v>
      </c>
      <c r="P598" s="6">
        <v>40182.013692129629</v>
      </c>
      <c r="Q598" s="12" t="s">
        <v>2028</v>
      </c>
      <c r="R598" s="17" t="s">
        <v>2029</v>
      </c>
      <c r="S598" s="13" t="s">
        <v>2030</v>
      </c>
      <c r="T598" s="11"/>
      <c r="U598" s="10" t="str">
        <f>HYPERLINK("https://pbs.twimg.com/profile_images/791320639567167489/vx7m-uPY.jpg","View")</f>
        <v>View</v>
      </c>
    </row>
    <row r="599" spans="1:21" ht="51">
      <c r="A599" s="6">
        <v>43440.837812500002</v>
      </c>
      <c r="B599" s="7" t="str">
        <f>HYPERLINK("https://twitter.com/esperjimca","@esperjimca")</f>
        <v>@esperjimca</v>
      </c>
      <c r="C599" s="8" t="s">
        <v>2032</v>
      </c>
      <c r="D599" s="9" t="s">
        <v>39</v>
      </c>
      <c r="E599" s="10" t="str">
        <f>HYPERLINK("https://twitter.com/esperjimca/status/1070756370956410886","1070756370956410886")</f>
        <v>1070756370956410886</v>
      </c>
      <c r="F599" s="13" t="s">
        <v>2034</v>
      </c>
      <c r="G599" s="11"/>
      <c r="H599" s="11"/>
      <c r="I599" s="14">
        <v>1</v>
      </c>
      <c r="J599" s="14">
        <v>1</v>
      </c>
      <c r="K599" s="15" t="str">
        <f t="shared" si="119"/>
        <v>Twitter for iPhone</v>
      </c>
      <c r="L599" s="14">
        <v>135</v>
      </c>
      <c r="M599" s="14">
        <v>126</v>
      </c>
      <c r="N599" s="14">
        <v>25</v>
      </c>
      <c r="O599" s="16"/>
      <c r="P599" s="6">
        <v>40494.579305555555</v>
      </c>
      <c r="Q599" s="12" t="s">
        <v>2037</v>
      </c>
      <c r="R599" s="18"/>
      <c r="S599" s="11"/>
      <c r="T599" s="11"/>
      <c r="U599" s="19" t="s">
        <v>629</v>
      </c>
    </row>
    <row r="600" spans="1:21" ht="20.399999999999999">
      <c r="A600" s="6">
        <v>43440.837268518517</v>
      </c>
      <c r="B600" s="7" t="str">
        <f>HYPERLINK("https://twitter.com/inesdolz18","@inesdolz18")</f>
        <v>@inesdolz18</v>
      </c>
      <c r="C600" s="8" t="s">
        <v>2728</v>
      </c>
      <c r="D600" s="9" t="s">
        <v>2729</v>
      </c>
      <c r="E600" s="10" t="str">
        <f>HYPERLINK("https://twitter.com/inesdolz18/status/1070756176479076352","1070756176479076352")</f>
        <v>1070756176479076352</v>
      </c>
      <c r="F600" s="11"/>
      <c r="G600" s="11"/>
      <c r="H600" s="11"/>
      <c r="I600" s="14">
        <v>0</v>
      </c>
      <c r="J600" s="14">
        <v>0</v>
      </c>
      <c r="K600" s="15" t="str">
        <f t="shared" ref="K600:K603" si="120">HYPERLINK("http://twitter.com/download/android","Twitter for Android")</f>
        <v>Twitter for Android</v>
      </c>
      <c r="L600" s="14">
        <v>207</v>
      </c>
      <c r="M600" s="14">
        <v>155</v>
      </c>
      <c r="N600" s="14">
        <v>0</v>
      </c>
      <c r="O600" s="16"/>
      <c r="P600" s="6">
        <v>41265.781331018516</v>
      </c>
      <c r="Q600" s="11"/>
      <c r="R600" s="27" t="s">
        <v>2732</v>
      </c>
      <c r="S600" s="11"/>
      <c r="T600" s="11"/>
      <c r="U600" s="10" t="str">
        <f>HYPERLINK("https://pbs.twimg.com/profile_images/1068533486804455427/sezuMl5Z.jpg","View")</f>
        <v>View</v>
      </c>
    </row>
    <row r="601" spans="1:21" ht="51">
      <c r="A601" s="6">
        <v>43440.836643518516</v>
      </c>
      <c r="B601" s="7" t="str">
        <f>HYPERLINK("https://twitter.com/javirubiofresh","@javirubiofresh")</f>
        <v>@javirubiofresh</v>
      </c>
      <c r="C601" s="8" t="s">
        <v>2040</v>
      </c>
      <c r="D601" s="9" t="s">
        <v>2041</v>
      </c>
      <c r="E601" s="10" t="str">
        <f>HYPERLINK("https://twitter.com/javirubiofresh/status/1070755948128538624","1070755948128538624")</f>
        <v>1070755948128538624</v>
      </c>
      <c r="F601" s="11"/>
      <c r="G601" s="13" t="s">
        <v>2044</v>
      </c>
      <c r="H601" s="11"/>
      <c r="I601" s="14">
        <v>0</v>
      </c>
      <c r="J601" s="14">
        <v>3</v>
      </c>
      <c r="K601" s="15" t="str">
        <f t="shared" si="120"/>
        <v>Twitter for Android</v>
      </c>
      <c r="L601" s="14">
        <v>267</v>
      </c>
      <c r="M601" s="14">
        <v>425</v>
      </c>
      <c r="N601" s="14">
        <v>1</v>
      </c>
      <c r="O601" s="16"/>
      <c r="P601" s="6">
        <v>43160.795416666668</v>
      </c>
      <c r="Q601" s="12" t="s">
        <v>2047</v>
      </c>
      <c r="R601" s="17" t="s">
        <v>2048</v>
      </c>
      <c r="S601" s="13" t="s">
        <v>2049</v>
      </c>
      <c r="T601" s="11"/>
      <c r="U601" s="10" t="str">
        <f>HYPERLINK("https://pbs.twimg.com/profile_images/1067485662797070336/56Le9NbJ.jpg","View")</f>
        <v>View</v>
      </c>
    </row>
    <row r="602" spans="1:21" ht="71.400000000000006">
      <c r="A602" s="6">
        <v>43440.836631944447</v>
      </c>
      <c r="B602" s="7" t="str">
        <f>HYPERLINK("https://twitter.com/CarlesSoler8","@CarlesSoler8")</f>
        <v>@CarlesSoler8</v>
      </c>
      <c r="C602" s="8" t="s">
        <v>2054</v>
      </c>
      <c r="D602" s="9" t="s">
        <v>2055</v>
      </c>
      <c r="E602" s="10" t="str">
        <f>HYPERLINK("https://twitter.com/CarlesSoler8/status/1070755943795838979","1070755943795838979")</f>
        <v>1070755943795838979</v>
      </c>
      <c r="F602" s="13" t="s">
        <v>2056</v>
      </c>
      <c r="G602" s="13" t="s">
        <v>2057</v>
      </c>
      <c r="H602" s="11"/>
      <c r="I602" s="14">
        <v>8</v>
      </c>
      <c r="J602" s="14">
        <v>10</v>
      </c>
      <c r="K602" s="15" t="str">
        <f t="shared" si="120"/>
        <v>Twitter for Android</v>
      </c>
      <c r="L602" s="14">
        <v>19</v>
      </c>
      <c r="M602" s="14">
        <v>40</v>
      </c>
      <c r="N602" s="14">
        <v>0</v>
      </c>
      <c r="O602" s="16"/>
      <c r="P602" s="6">
        <v>42992.448263888888</v>
      </c>
      <c r="Q602" s="11"/>
      <c r="R602" s="18"/>
      <c r="S602" s="11"/>
      <c r="T602" s="11"/>
      <c r="U602" s="10" t="str">
        <f>HYPERLINK("https://pbs.twimg.com/profile_images/926184256317075456/L3saY_f2.jpg","View")</f>
        <v>View</v>
      </c>
    </row>
    <row r="603" spans="1:21" ht="71.400000000000006">
      <c r="A603" s="6">
        <v>43440.834398148145</v>
      </c>
      <c r="B603" s="7" t="str">
        <f>HYPERLINK("https://twitter.com/independetto","@independetto")</f>
        <v>@independetto</v>
      </c>
      <c r="C603" s="8" t="s">
        <v>2058</v>
      </c>
      <c r="D603" s="9" t="s">
        <v>2059</v>
      </c>
      <c r="E603" s="10" t="str">
        <f>HYPERLINK("https://twitter.com/independetto/status/1070755133829582848","1070755133829582848")</f>
        <v>1070755133829582848</v>
      </c>
      <c r="F603" s="13" t="s">
        <v>2060</v>
      </c>
      <c r="G603" s="13" t="s">
        <v>2061</v>
      </c>
      <c r="H603" s="11"/>
      <c r="I603" s="14">
        <v>1</v>
      </c>
      <c r="J603" s="14">
        <v>0</v>
      </c>
      <c r="K603" s="15" t="str">
        <f t="shared" si="120"/>
        <v>Twitter for Android</v>
      </c>
      <c r="L603" s="14">
        <v>795</v>
      </c>
      <c r="M603" s="14">
        <v>2065</v>
      </c>
      <c r="N603" s="14">
        <v>1</v>
      </c>
      <c r="O603" s="16"/>
      <c r="P603" s="6">
        <v>42991.746053240742</v>
      </c>
      <c r="Q603" s="12" t="s">
        <v>790</v>
      </c>
      <c r="R603" s="17" t="s">
        <v>2062</v>
      </c>
      <c r="S603" s="13" t="s">
        <v>2063</v>
      </c>
      <c r="T603" s="11"/>
      <c r="U603" s="10" t="str">
        <f>HYPERLINK("https://pbs.twimg.com/profile_images/926197376221663234/eWHEe1d8.jpg","View")</f>
        <v>View</v>
      </c>
    </row>
    <row r="604" spans="1:21" ht="30.6">
      <c r="A604" s="6">
        <v>43440.832395833335</v>
      </c>
      <c r="B604" s="7" t="str">
        <f>HYPERLINK("https://twitter.com/Chadan1965","@Chadan1965")</f>
        <v>@Chadan1965</v>
      </c>
      <c r="C604" s="8" t="s">
        <v>2064</v>
      </c>
      <c r="D604" s="9" t="s">
        <v>2065</v>
      </c>
      <c r="E604" s="10" t="str">
        <f>HYPERLINK("https://twitter.com/Chadan1965/status/1070754411373363201","1070754411373363201")</f>
        <v>1070754411373363201</v>
      </c>
      <c r="F604" s="11"/>
      <c r="G604" s="13" t="s">
        <v>2066</v>
      </c>
      <c r="H604" s="11"/>
      <c r="I604" s="14">
        <v>1</v>
      </c>
      <c r="J604" s="14">
        <v>1</v>
      </c>
      <c r="K604" s="15" t="str">
        <f>HYPERLINK("http://twitter.com/#!/download/ipad","Twitter for iPad")</f>
        <v>Twitter for iPad</v>
      </c>
      <c r="L604" s="14">
        <v>205</v>
      </c>
      <c r="M604" s="14">
        <v>692</v>
      </c>
      <c r="N604" s="14">
        <v>2</v>
      </c>
      <c r="O604" s="16"/>
      <c r="P604" s="6">
        <v>40254.909421296295</v>
      </c>
      <c r="Q604" s="12" t="s">
        <v>137</v>
      </c>
      <c r="R604" s="17" t="s">
        <v>2067</v>
      </c>
      <c r="S604" s="13" t="s">
        <v>2068</v>
      </c>
      <c r="T604" s="11"/>
      <c r="U604" s="10" t="str">
        <f>HYPERLINK("https://pbs.twimg.com/profile_images/939069269391921152/cv9eMXK7.jpg","View")</f>
        <v>View</v>
      </c>
    </row>
    <row r="605" spans="1:21" ht="61.2">
      <c r="A605" s="6">
        <v>43440.827361111107</v>
      </c>
      <c r="B605" s="7" t="str">
        <f>HYPERLINK("https://twitter.com/carolina25cd","@carolina25cd")</f>
        <v>@carolina25cd</v>
      </c>
      <c r="C605" s="8" t="s">
        <v>2069</v>
      </c>
      <c r="D605" s="9" t="s">
        <v>2070</v>
      </c>
      <c r="E605" s="10" t="str">
        <f>HYPERLINK("https://twitter.com/carolina25cd/status/1070752584330285056","1070752584330285056")</f>
        <v>1070752584330285056</v>
      </c>
      <c r="F605" s="12" t="s">
        <v>1878</v>
      </c>
      <c r="G605" s="11"/>
      <c r="H605" s="11"/>
      <c r="I605" s="14">
        <v>0</v>
      </c>
      <c r="J605" s="14">
        <v>0</v>
      </c>
      <c r="K605" s="15" t="str">
        <f>HYPERLINK("http://twitter.com/download/android","Twitter for Android")</f>
        <v>Twitter for Android</v>
      </c>
      <c r="L605" s="14">
        <v>146</v>
      </c>
      <c r="M605" s="14">
        <v>452</v>
      </c>
      <c r="N605" s="14">
        <v>3</v>
      </c>
      <c r="O605" s="16"/>
      <c r="P605" s="6">
        <v>40869.709166666667</v>
      </c>
      <c r="Q605" s="12" t="s">
        <v>2071</v>
      </c>
      <c r="R605" s="17" t="s">
        <v>2072</v>
      </c>
      <c r="S605" s="11"/>
      <c r="T605" s="11"/>
      <c r="U605" s="10" t="str">
        <f>HYPERLINK("https://pbs.twimg.com/profile_images/1020978252163289089/NPmWkoCg.jpg","View")</f>
        <v>View</v>
      </c>
    </row>
    <row r="606" spans="1:21" ht="61.2">
      <c r="A606" s="6">
        <v>43440.826967592591</v>
      </c>
      <c r="B606" s="7" t="str">
        <f>HYPERLINK("https://twitter.com/sambalat_repcat","@sambalat_repcat")</f>
        <v>@sambalat_repcat</v>
      </c>
      <c r="C606" s="8" t="s">
        <v>2750</v>
      </c>
      <c r="D606" s="9" t="s">
        <v>2751</v>
      </c>
      <c r="E606" s="10" t="str">
        <f>HYPERLINK("https://twitter.com/sambalat_repcat/status/1070752443355537408","1070752443355537408")</f>
        <v>1070752443355537408</v>
      </c>
      <c r="F606" s="12" t="s">
        <v>2753</v>
      </c>
      <c r="G606" s="11"/>
      <c r="H606" s="11"/>
      <c r="I606" s="14">
        <v>0</v>
      </c>
      <c r="J606" s="14">
        <v>0</v>
      </c>
      <c r="K606" s="15" t="str">
        <f>HYPERLINK("http://twitter.com","Twitter Web Client")</f>
        <v>Twitter Web Client</v>
      </c>
      <c r="L606" s="14">
        <v>550</v>
      </c>
      <c r="M606" s="14">
        <v>1139</v>
      </c>
      <c r="N606" s="14">
        <v>0</v>
      </c>
      <c r="O606" s="16"/>
      <c r="P606" s="6">
        <v>41382.695914351854</v>
      </c>
      <c r="Q606" s="11"/>
      <c r="R606" s="17" t="s">
        <v>2754</v>
      </c>
      <c r="S606" s="11"/>
      <c r="T606" s="11"/>
      <c r="U606" s="10" t="str">
        <f>HYPERLINK("https://pbs.twimg.com/profile_images/938183946105491458/jaHqStL3.jpg","View")</f>
        <v>View</v>
      </c>
    </row>
    <row r="607" spans="1:21" ht="30.6">
      <c r="A607" s="6">
        <v>43440.826423611114</v>
      </c>
      <c r="B607" s="7" t="str">
        <f>HYPERLINK("https://twitter.com/SergioMartin_95","@SergioMartin_95")</f>
        <v>@SergioMartin_95</v>
      </c>
      <c r="C607" s="8" t="s">
        <v>2757</v>
      </c>
      <c r="D607" s="9" t="s">
        <v>2758</v>
      </c>
      <c r="E607" s="10" t="str">
        <f>HYPERLINK("https://twitter.com/SergioMartin_95/status/1070752244658831361","1070752244658831361")</f>
        <v>1070752244658831361</v>
      </c>
      <c r="F607" s="11"/>
      <c r="G607" s="11"/>
      <c r="H607" s="11"/>
      <c r="I607" s="14">
        <v>0</v>
      </c>
      <c r="J607" s="14">
        <v>0</v>
      </c>
      <c r="K607" s="15" t="str">
        <f>HYPERLINK("http://twitter.com/download/android","Twitter for Android")</f>
        <v>Twitter for Android</v>
      </c>
      <c r="L607" s="14">
        <v>185</v>
      </c>
      <c r="M607" s="14">
        <v>359</v>
      </c>
      <c r="N607" s="14">
        <v>3</v>
      </c>
      <c r="O607" s="16"/>
      <c r="P607" s="6">
        <v>40797.575567129628</v>
      </c>
      <c r="Q607" s="12" t="s">
        <v>2622</v>
      </c>
      <c r="R607" s="17" t="s">
        <v>2759</v>
      </c>
      <c r="S607" s="13" t="s">
        <v>2761</v>
      </c>
      <c r="T607" s="11"/>
      <c r="U607" s="10" t="str">
        <f>HYPERLINK("https://pbs.twimg.com/profile_images/1050681828099674112/y3QpFook.jpg","View")</f>
        <v>View</v>
      </c>
    </row>
    <row r="608" spans="1:21" ht="40.799999999999997">
      <c r="A608" s="6">
        <v>43440.824317129634</v>
      </c>
      <c r="B608" s="7" t="str">
        <f>HYPERLINK("https://twitter.com/Sanfermin00","@Sanfermin00")</f>
        <v>@Sanfermin00</v>
      </c>
      <c r="C608" s="8" t="s">
        <v>2763</v>
      </c>
      <c r="D608" s="9" t="s">
        <v>2764</v>
      </c>
      <c r="E608" s="10" t="str">
        <f>HYPERLINK("https://twitter.com/Sanfermin00/status/1070751481903624192","1070751481903624192")</f>
        <v>1070751481903624192</v>
      </c>
      <c r="F608" s="13" t="s">
        <v>2765</v>
      </c>
      <c r="G608" s="11"/>
      <c r="H608" s="11"/>
      <c r="I608" s="14">
        <v>0</v>
      </c>
      <c r="J608" s="14">
        <v>0</v>
      </c>
      <c r="K608" s="15" t="str">
        <f t="shared" ref="K608:K609" si="121">HYPERLINK("http://twitter.com","Twitter Web Client")</f>
        <v>Twitter Web Client</v>
      </c>
      <c r="L608" s="14">
        <v>16528</v>
      </c>
      <c r="M608" s="14">
        <v>13714</v>
      </c>
      <c r="N608" s="14">
        <v>122</v>
      </c>
      <c r="O608" s="16"/>
      <c r="P608" s="6">
        <v>42362.637083333335</v>
      </c>
      <c r="Q608" s="12" t="s">
        <v>2767</v>
      </c>
      <c r="R608" s="17" t="s">
        <v>2768</v>
      </c>
      <c r="S608" s="13" t="s">
        <v>2769</v>
      </c>
      <c r="T608" s="11"/>
      <c r="U608" s="10" t="str">
        <f>HYPERLINK("https://pbs.twimg.com/profile_images/1064102923624480768/j11dV2-u.jpg","View")</f>
        <v>View</v>
      </c>
    </row>
    <row r="609" spans="1:21" ht="30.6">
      <c r="A609" s="6">
        <v>43440.823368055557</v>
      </c>
      <c r="B609" s="7" t="str">
        <f>HYPERLINK("https://twitter.com/Juanmi_News","@Juanmi_News")</f>
        <v>@Juanmi_News</v>
      </c>
      <c r="C609" s="8" t="s">
        <v>2073</v>
      </c>
      <c r="D609" s="9" t="s">
        <v>2074</v>
      </c>
      <c r="E609" s="10" t="str">
        <f>HYPERLINK("https://twitter.com/Juanmi_News/status/1070751138801217539","1070751138801217539")</f>
        <v>1070751138801217539</v>
      </c>
      <c r="F609" s="11"/>
      <c r="G609" s="13" t="s">
        <v>2075</v>
      </c>
      <c r="H609" s="11"/>
      <c r="I609" s="14">
        <v>364</v>
      </c>
      <c r="J609" s="14">
        <v>665</v>
      </c>
      <c r="K609" s="15" t="str">
        <f t="shared" si="121"/>
        <v>Twitter Web Client</v>
      </c>
      <c r="L609" s="14">
        <v>65184</v>
      </c>
      <c r="M609" s="14">
        <v>181</v>
      </c>
      <c r="N609" s="14">
        <v>906</v>
      </c>
      <c r="O609" s="16"/>
      <c r="P609" s="6">
        <v>40644.584988425922</v>
      </c>
      <c r="Q609" s="12" t="s">
        <v>477</v>
      </c>
      <c r="R609" s="17" t="s">
        <v>2077</v>
      </c>
      <c r="S609" s="11"/>
      <c r="T609" s="11"/>
      <c r="U609" s="10" t="str">
        <f>HYPERLINK("https://pbs.twimg.com/profile_images/748586239595524097/FMNA7VOY.jpg","View")</f>
        <v>View</v>
      </c>
    </row>
    <row r="610" spans="1:21" ht="40.799999999999997">
      <c r="A610" s="6">
        <v>43440.821273148147</v>
      </c>
      <c r="B610" s="7" t="str">
        <f>HYPERLINK("https://twitter.com/CsCValenciana","@CsCValenciana")</f>
        <v>@CsCValenciana</v>
      </c>
      <c r="C610" s="8" t="s">
        <v>2079</v>
      </c>
      <c r="D610" s="9" t="s">
        <v>2080</v>
      </c>
      <c r="E610" s="10" t="str">
        <f>HYPERLINK("https://twitter.com/CsCValenciana/status/1070750380634595328","1070750380634595328")</f>
        <v>1070750380634595328</v>
      </c>
      <c r="F610" s="13" t="s">
        <v>1645</v>
      </c>
      <c r="G610" s="13" t="s">
        <v>2084</v>
      </c>
      <c r="H610" s="11"/>
      <c r="I610" s="14">
        <v>3</v>
      </c>
      <c r="J610" s="14">
        <v>8</v>
      </c>
      <c r="K610" s="15" t="str">
        <f t="shared" ref="K610:K611" si="122">HYPERLINK("http://twitter.com/download/android","Twitter for Android")</f>
        <v>Twitter for Android</v>
      </c>
      <c r="L610" s="14">
        <v>12324</v>
      </c>
      <c r="M610" s="14">
        <v>4351</v>
      </c>
      <c r="N610" s="14">
        <v>154</v>
      </c>
      <c r="O610" s="19" t="s">
        <v>42</v>
      </c>
      <c r="P610" s="6">
        <v>41398.006712962961</v>
      </c>
      <c r="Q610" s="12" t="s">
        <v>2088</v>
      </c>
      <c r="R610" s="17" t="s">
        <v>2089</v>
      </c>
      <c r="S610" s="13" t="s">
        <v>2090</v>
      </c>
      <c r="T610" s="11"/>
      <c r="U610" s="10" t="str">
        <f>HYPERLINK("https://pbs.twimg.com/profile_images/1053541731621314560/AVBbU4uK.jpg","View")</f>
        <v>View</v>
      </c>
    </row>
    <row r="611" spans="1:21" ht="40.799999999999997">
      <c r="A611" s="6">
        <v>43440.818425925929</v>
      </c>
      <c r="B611" s="7" t="str">
        <f>HYPERLINK("https://twitter.com/Jojogape","@Jojogape")</f>
        <v>@Jojogape</v>
      </c>
      <c r="C611" s="8" t="s">
        <v>2782</v>
      </c>
      <c r="D611" s="9" t="s">
        <v>2783</v>
      </c>
      <c r="E611" s="10" t="str">
        <f>HYPERLINK("https://twitter.com/Jojogape/status/1070749348013727745","1070749348013727745")</f>
        <v>1070749348013727745</v>
      </c>
      <c r="F611" s="11"/>
      <c r="G611" s="11"/>
      <c r="H611" s="11"/>
      <c r="I611" s="14">
        <v>0</v>
      </c>
      <c r="J611" s="14">
        <v>0</v>
      </c>
      <c r="K611" s="15" t="str">
        <f t="shared" si="122"/>
        <v>Twitter for Android</v>
      </c>
      <c r="L611" s="14">
        <v>128</v>
      </c>
      <c r="M611" s="14">
        <v>63</v>
      </c>
      <c r="N611" s="14">
        <v>1</v>
      </c>
      <c r="O611" s="16"/>
      <c r="P611" s="6">
        <v>40811.83971064815</v>
      </c>
      <c r="Q611" s="12" t="s">
        <v>2784</v>
      </c>
      <c r="R611" s="17" t="s">
        <v>2785</v>
      </c>
      <c r="S611" s="13" t="s">
        <v>2786</v>
      </c>
      <c r="T611" s="11"/>
      <c r="U611" s="10" t="str">
        <f>HYPERLINK("https://pbs.twimg.com/profile_images/1064285217257660416/HSotV1Df.jpg","View")</f>
        <v>View</v>
      </c>
    </row>
    <row r="612" spans="1:21" ht="30.6">
      <c r="A612" s="6">
        <v>43440.816724537042</v>
      </c>
      <c r="B612" s="7" t="str">
        <f>HYPERLINK("https://twitter.com/comandantenr","@comandantenr")</f>
        <v>@comandantenr</v>
      </c>
      <c r="C612" s="8" t="s">
        <v>2789</v>
      </c>
      <c r="D612" s="9" t="s">
        <v>2790</v>
      </c>
      <c r="E612" s="10" t="str">
        <f>HYPERLINK("https://twitter.com/comandantenr/status/1070748729790087170","1070748729790087170")</f>
        <v>1070748729790087170</v>
      </c>
      <c r="F612" s="13" t="s">
        <v>2791</v>
      </c>
      <c r="G612" s="11"/>
      <c r="H612" s="11"/>
      <c r="I612" s="14">
        <v>1</v>
      </c>
      <c r="J612" s="14">
        <v>7</v>
      </c>
      <c r="K612" s="15" t="str">
        <f>HYPERLINK("http://twitter.com","Twitter Web Client")</f>
        <v>Twitter Web Client</v>
      </c>
      <c r="L612" s="14">
        <v>613</v>
      </c>
      <c r="M612" s="14">
        <v>336</v>
      </c>
      <c r="N612" s="14">
        <v>23</v>
      </c>
      <c r="O612" s="16"/>
      <c r="P612" s="6">
        <v>41212.640636574077</v>
      </c>
      <c r="Q612" s="11"/>
      <c r="R612" s="17" t="s">
        <v>2792</v>
      </c>
      <c r="S612" s="13" t="s">
        <v>2793</v>
      </c>
      <c r="T612" s="11"/>
      <c r="U612" s="10" t="str">
        <f>HYPERLINK("https://pbs.twimg.com/profile_images/861932248689496066/UR2Cbbv_.jpg","View")</f>
        <v>View</v>
      </c>
    </row>
    <row r="613" spans="1:21" ht="40.799999999999997">
      <c r="A613" s="6">
        <v>43440.813240740739</v>
      </c>
      <c r="B613" s="7" t="str">
        <f>HYPERLINK("https://twitter.com/Cs_Motilla","@Cs_Motilla")</f>
        <v>@Cs_Motilla</v>
      </c>
      <c r="C613" s="8" t="s">
        <v>1643</v>
      </c>
      <c r="D613" s="9" t="s">
        <v>2091</v>
      </c>
      <c r="E613" s="10" t="str">
        <f>HYPERLINK("https://twitter.com/Cs_Motilla/status/1070747468877496321","1070747468877496321")</f>
        <v>1070747468877496321</v>
      </c>
      <c r="F613" s="11"/>
      <c r="G613" s="13" t="s">
        <v>2092</v>
      </c>
      <c r="H613" s="11"/>
      <c r="I613" s="14">
        <v>2</v>
      </c>
      <c r="J613" s="14">
        <v>6</v>
      </c>
      <c r="K613" s="15" t="str">
        <f t="shared" ref="K613:K616" si="123">HYPERLINK("http://twitter.com/download/android","Twitter for Android")</f>
        <v>Twitter for Android</v>
      </c>
      <c r="L613" s="14">
        <v>237</v>
      </c>
      <c r="M613" s="14">
        <v>198</v>
      </c>
      <c r="N613" s="14">
        <v>2</v>
      </c>
      <c r="O613" s="16"/>
      <c r="P613" s="6">
        <v>43241.517291666663</v>
      </c>
      <c r="Q613" s="12" t="s">
        <v>1648</v>
      </c>
      <c r="R613" s="17" t="s">
        <v>1649</v>
      </c>
      <c r="S613" s="13" t="s">
        <v>1650</v>
      </c>
      <c r="T613" s="11"/>
      <c r="U613" s="10" t="str">
        <f>HYPERLINK("https://pbs.twimg.com/profile_images/998513996364853249/2lX0XUz7.jpg","View")</f>
        <v>View</v>
      </c>
    </row>
    <row r="614" spans="1:21" ht="30.6">
      <c r="A614" s="6">
        <v>43440.808148148149</v>
      </c>
      <c r="B614" s="7" t="str">
        <f>HYPERLINK("https://twitter.com/ferrerodu","@ferrerodu")</f>
        <v>@ferrerodu</v>
      </c>
      <c r="C614" s="8" t="s">
        <v>2093</v>
      </c>
      <c r="D614" s="9" t="s">
        <v>2094</v>
      </c>
      <c r="E614" s="10" t="str">
        <f>HYPERLINK("https://twitter.com/ferrerodu/status/1070745622251212802","1070745622251212802")</f>
        <v>1070745622251212802</v>
      </c>
      <c r="F614" s="13" t="s">
        <v>2095</v>
      </c>
      <c r="G614" s="11"/>
      <c r="H614" s="11"/>
      <c r="I614" s="14">
        <v>8</v>
      </c>
      <c r="J614" s="14">
        <v>7</v>
      </c>
      <c r="K614" s="15" t="str">
        <f t="shared" si="123"/>
        <v>Twitter for Android</v>
      </c>
      <c r="L614" s="14">
        <v>3251</v>
      </c>
      <c r="M614" s="14">
        <v>4994</v>
      </c>
      <c r="N614" s="14">
        <v>48</v>
      </c>
      <c r="O614" s="16"/>
      <c r="P614" s="6">
        <v>42514.8434375</v>
      </c>
      <c r="Q614" s="11"/>
      <c r="R614" s="17" t="s">
        <v>2098</v>
      </c>
      <c r="S614" s="11"/>
      <c r="T614" s="11"/>
      <c r="U614" s="10" t="str">
        <f>HYPERLINK("https://pbs.twimg.com/profile_images/937373246110031872/Ag-PfK82.jpg","View")</f>
        <v>View</v>
      </c>
    </row>
    <row r="615" spans="1:21" ht="81.599999999999994">
      <c r="A615" s="6">
        <v>43440.807534722218</v>
      </c>
      <c r="B615" s="7" t="str">
        <f>HYPERLINK("https://twitter.com/alfredherrero","@alfredherrero")</f>
        <v>@alfredherrero</v>
      </c>
      <c r="C615" s="8" t="s">
        <v>2100</v>
      </c>
      <c r="D615" s="9" t="s">
        <v>2101</v>
      </c>
      <c r="E615" s="10" t="str">
        <f>HYPERLINK("https://twitter.com/alfredherrero/status/1070745399164633088","1070745399164633088")</f>
        <v>1070745399164633088</v>
      </c>
      <c r="F615" s="13" t="s">
        <v>2103</v>
      </c>
      <c r="G615" s="13" t="s">
        <v>2105</v>
      </c>
      <c r="H615" s="11"/>
      <c r="I615" s="14">
        <v>0</v>
      </c>
      <c r="J615" s="14">
        <v>1</v>
      </c>
      <c r="K615" s="15" t="str">
        <f t="shared" si="123"/>
        <v>Twitter for Android</v>
      </c>
      <c r="L615" s="14">
        <v>154</v>
      </c>
      <c r="M615" s="14">
        <v>187</v>
      </c>
      <c r="N615" s="14">
        <v>1</v>
      </c>
      <c r="O615" s="16"/>
      <c r="P615" s="6">
        <v>40076.463587962964</v>
      </c>
      <c r="Q615" s="12" t="s">
        <v>2106</v>
      </c>
      <c r="R615" s="18"/>
      <c r="S615" s="11"/>
      <c r="T615" s="11"/>
      <c r="U615" s="10" t="str">
        <f>HYPERLINK("https://pbs.twimg.com/profile_images/910142577189572609/aJOX2ZHF.jpg","View")</f>
        <v>View</v>
      </c>
    </row>
    <row r="616" spans="1:21" ht="61.2">
      <c r="A616" s="6">
        <v>43440.806018518517</v>
      </c>
      <c r="B616" s="7" t="str">
        <f>HYPERLINK("https://twitter.com/ajcalzado","@ajcalzado")</f>
        <v>@ajcalzado</v>
      </c>
      <c r="C616" s="8" t="s">
        <v>2109</v>
      </c>
      <c r="D616" s="9" t="s">
        <v>2110</v>
      </c>
      <c r="E616" s="10" t="str">
        <f>HYPERLINK("https://twitter.com/ajcalzado/status/1070744851405246465","1070744851405246465")</f>
        <v>1070744851405246465</v>
      </c>
      <c r="F616" s="11"/>
      <c r="G616" s="11"/>
      <c r="H616" s="11"/>
      <c r="I616" s="14">
        <v>1</v>
      </c>
      <c r="J616" s="14">
        <v>1</v>
      </c>
      <c r="K616" s="15" t="str">
        <f t="shared" si="123"/>
        <v>Twitter for Android</v>
      </c>
      <c r="L616" s="14">
        <v>707</v>
      </c>
      <c r="M616" s="14">
        <v>1400</v>
      </c>
      <c r="N616" s="14">
        <v>13</v>
      </c>
      <c r="O616" s="16"/>
      <c r="P616" s="6">
        <v>40649.641770833332</v>
      </c>
      <c r="Q616" s="12" t="s">
        <v>2111</v>
      </c>
      <c r="R616" s="17" t="s">
        <v>2112</v>
      </c>
      <c r="S616" s="13" t="s">
        <v>2113</v>
      </c>
      <c r="T616" s="11"/>
      <c r="U616" s="10" t="str">
        <f>HYPERLINK("https://pbs.twimg.com/profile_images/1000743592065937408/Ib7Af_lJ.jpg","View")</f>
        <v>View</v>
      </c>
    </row>
    <row r="617" spans="1:21" ht="51">
      <c r="A617" s="6">
        <v>43440.803287037037</v>
      </c>
      <c r="B617" s="7" t="str">
        <f>HYPERLINK("https://twitter.com/Ines_Sainz","@Ines_Sainz")</f>
        <v>@Ines_Sainz</v>
      </c>
      <c r="C617" s="8" t="s">
        <v>2114</v>
      </c>
      <c r="D617" s="9" t="s">
        <v>2115</v>
      </c>
      <c r="E617" s="10" t="str">
        <f>HYPERLINK("https://twitter.com/Ines_Sainz/status/1070743861117575168","1070743861117575168")</f>
        <v>1070743861117575168</v>
      </c>
      <c r="F617" s="11"/>
      <c r="G617" s="11"/>
      <c r="H617" s="11"/>
      <c r="I617" s="14">
        <v>0</v>
      </c>
      <c r="J617" s="14">
        <v>2</v>
      </c>
      <c r="K617" s="15" t="str">
        <f>HYPERLINK("http://twitter.com/download/iphone","Twitter for iPhone")</f>
        <v>Twitter for iPhone</v>
      </c>
      <c r="L617" s="14">
        <v>1786</v>
      </c>
      <c r="M617" s="14">
        <v>915</v>
      </c>
      <c r="N617" s="14">
        <v>57</v>
      </c>
      <c r="O617" s="16"/>
      <c r="P617" s="6">
        <v>39907.942013888889</v>
      </c>
      <c r="Q617" s="12" t="s">
        <v>29</v>
      </c>
      <c r="R617" s="17" t="s">
        <v>2116</v>
      </c>
      <c r="S617" s="13" t="s">
        <v>2117</v>
      </c>
      <c r="T617" s="11"/>
      <c r="U617" s="10" t="str">
        <f>HYPERLINK("https://pbs.twimg.com/profile_images/1050158428457500672/UIyi6Ldp.jpg","View")</f>
        <v>View</v>
      </c>
    </row>
    <row r="618" spans="1:21" ht="51">
      <c r="A618" s="6">
        <v>43440.79887731481</v>
      </c>
      <c r="B618" s="7" t="str">
        <f>HYPERLINK("https://twitter.com/fer2365","@fer2365")</f>
        <v>@fer2365</v>
      </c>
      <c r="C618" s="8" t="s">
        <v>2803</v>
      </c>
      <c r="D618" s="9" t="s">
        <v>2804</v>
      </c>
      <c r="E618" s="10" t="str">
        <f>HYPERLINK("https://twitter.com/fer2365/status/1070742263742062592","1070742263742062592")</f>
        <v>1070742263742062592</v>
      </c>
      <c r="F618" s="11"/>
      <c r="G618" s="11"/>
      <c r="H618" s="11"/>
      <c r="I618" s="14">
        <v>15</v>
      </c>
      <c r="J618" s="14">
        <v>21</v>
      </c>
      <c r="K618" s="15" t="str">
        <f t="shared" ref="K618:K620" si="124">HYPERLINK("http://twitter.com","Twitter Web Client")</f>
        <v>Twitter Web Client</v>
      </c>
      <c r="L618" s="14">
        <v>1807</v>
      </c>
      <c r="M618" s="14">
        <v>1582</v>
      </c>
      <c r="N618" s="14">
        <v>15</v>
      </c>
      <c r="O618" s="16"/>
      <c r="P618" s="6">
        <v>40246.72520833333</v>
      </c>
      <c r="Q618" s="11"/>
      <c r="R618" s="17" t="s">
        <v>2807</v>
      </c>
      <c r="S618" s="11"/>
      <c r="T618" s="11"/>
      <c r="U618" s="10" t="str">
        <f>HYPERLINK("https://pbs.twimg.com/profile_images/1052635885332762625/Cne5ZWEm.jpg","View")</f>
        <v>View</v>
      </c>
    </row>
    <row r="619" spans="1:21" ht="40.799999999999997">
      <c r="A619" s="6">
        <v>43440.79760416667</v>
      </c>
      <c r="B619" s="7" t="str">
        <f>HYPERLINK("https://twitter.com/PabloAranguena","@PabloAranguena")</f>
        <v>@PabloAranguena</v>
      </c>
      <c r="C619" s="8" t="s">
        <v>2120</v>
      </c>
      <c r="D619" s="9" t="s">
        <v>2121</v>
      </c>
      <c r="E619" s="10" t="str">
        <f>HYPERLINK("https://twitter.com/PabloAranguena/status/1070741803131961344","1070741803131961344")</f>
        <v>1070741803131961344</v>
      </c>
      <c r="F619" s="13" t="s">
        <v>2122</v>
      </c>
      <c r="G619" s="11"/>
      <c r="H619" s="11"/>
      <c r="I619" s="14">
        <v>38</v>
      </c>
      <c r="J619" s="14">
        <v>33</v>
      </c>
      <c r="K619" s="15" t="str">
        <f t="shared" si="124"/>
        <v>Twitter Web Client</v>
      </c>
      <c r="L619" s="14">
        <v>519</v>
      </c>
      <c r="M619" s="14">
        <v>271</v>
      </c>
      <c r="N619" s="14">
        <v>6</v>
      </c>
      <c r="O619" s="16"/>
      <c r="P619" s="6">
        <v>42663.00545138889</v>
      </c>
      <c r="Q619" s="11"/>
      <c r="R619" s="17" t="s">
        <v>2123</v>
      </c>
      <c r="S619" s="11"/>
      <c r="T619" s="11"/>
      <c r="U619" s="10" t="str">
        <f>HYPERLINK("https://pbs.twimg.com/profile_images/984799102021128192/6pEXKCZa.jpg","View")</f>
        <v>View</v>
      </c>
    </row>
    <row r="620" spans="1:21" ht="61.2">
      <c r="A620" s="6">
        <v>43440.795567129629</v>
      </c>
      <c r="B620" s="7" t="str">
        <f>HYPERLINK("https://twitter.com/nomedesporculo1","@nomedesporculo1")</f>
        <v>@nomedesporculo1</v>
      </c>
      <c r="C620" s="8" t="s">
        <v>2124</v>
      </c>
      <c r="D620" s="9" t="s">
        <v>2125</v>
      </c>
      <c r="E620" s="10" t="str">
        <f>HYPERLINK("https://twitter.com/nomedesporculo1/status/1070741062807900161","1070741062807900161")</f>
        <v>1070741062807900161</v>
      </c>
      <c r="F620" s="12" t="s">
        <v>2126</v>
      </c>
      <c r="G620" s="11"/>
      <c r="H620" s="11"/>
      <c r="I620" s="14">
        <v>0</v>
      </c>
      <c r="J620" s="14">
        <v>0</v>
      </c>
      <c r="K620" s="15" t="str">
        <f t="shared" si="124"/>
        <v>Twitter Web Client</v>
      </c>
      <c r="L620" s="14">
        <v>452</v>
      </c>
      <c r="M620" s="14">
        <v>573</v>
      </c>
      <c r="N620" s="14">
        <v>1</v>
      </c>
      <c r="O620" s="16"/>
      <c r="P620" s="6">
        <v>43229.504178240742</v>
      </c>
      <c r="Q620" s="12" t="s">
        <v>137</v>
      </c>
      <c r="R620" s="17" t="s">
        <v>2127</v>
      </c>
      <c r="S620" s="11"/>
      <c r="T620" s="11"/>
      <c r="U620" s="10" t="str">
        <f>HYPERLINK("https://pbs.twimg.com/profile_images/994246645255729152/cHfn_Hjl.jpg","View")</f>
        <v>View</v>
      </c>
    </row>
    <row r="621" spans="1:21" ht="51">
      <c r="A621" s="6">
        <v>43440.79305555555</v>
      </c>
      <c r="B621" s="7" t="str">
        <f>HYPERLINK("https://twitter.com/bitMomentum","@bitMomentum")</f>
        <v>@bitMomentum</v>
      </c>
      <c r="C621" s="8" t="s">
        <v>1889</v>
      </c>
      <c r="D621" s="9" t="s">
        <v>2128</v>
      </c>
      <c r="E621" s="10" t="str">
        <f>HYPERLINK("https://twitter.com/bitMomentum/status/1070740151515734019","1070740151515734019")</f>
        <v>1070740151515734019</v>
      </c>
      <c r="F621" s="11"/>
      <c r="G621" s="11"/>
      <c r="H621" s="11"/>
      <c r="I621" s="14">
        <v>0</v>
      </c>
      <c r="J621" s="14">
        <v>0</v>
      </c>
      <c r="K621" s="15" t="str">
        <f>HYPERLINK("http://www.bitmomentum.com","bitMomentum Bot")</f>
        <v>bitMomentum Bot</v>
      </c>
      <c r="L621" s="14">
        <v>10254</v>
      </c>
      <c r="M621" s="14">
        <v>1059</v>
      </c>
      <c r="N621" s="14">
        <v>263</v>
      </c>
      <c r="O621" s="16"/>
      <c r="P621" s="6">
        <v>41608.667511574073</v>
      </c>
      <c r="Q621" s="11"/>
      <c r="R621" s="17" t="s">
        <v>1897</v>
      </c>
      <c r="S621" s="13" t="s">
        <v>1898</v>
      </c>
      <c r="T621" s="11"/>
      <c r="U621" s="10" t="str">
        <f>HYPERLINK("https://pbs.twimg.com/profile_images/378800000862185241/20ij2H3u.png","View")</f>
        <v>View</v>
      </c>
    </row>
    <row r="622" spans="1:21" ht="40.799999999999997">
      <c r="A622" s="6">
        <v>43440.792581018519</v>
      </c>
      <c r="B622" s="7" t="str">
        <f>HYPERLINK("https://twitter.com/eljoioporculo","@eljoioporculo")</f>
        <v>@eljoioporculo</v>
      </c>
      <c r="C622" s="8" t="s">
        <v>2817</v>
      </c>
      <c r="D622" s="9" t="s">
        <v>2818</v>
      </c>
      <c r="E622" s="10" t="str">
        <f>HYPERLINK("https://twitter.com/eljoioporculo/status/1070739981331783681","1070739981331783681")</f>
        <v>1070739981331783681</v>
      </c>
      <c r="F622" s="11"/>
      <c r="G622" s="13" t="s">
        <v>2820</v>
      </c>
      <c r="H622" s="11"/>
      <c r="I622" s="14">
        <v>0</v>
      </c>
      <c r="J622" s="14">
        <v>1</v>
      </c>
      <c r="K622" s="15" t="str">
        <f>HYPERLINK("http://twitter.com","Twitter Web Client")</f>
        <v>Twitter Web Client</v>
      </c>
      <c r="L622" s="14">
        <v>7</v>
      </c>
      <c r="M622" s="14">
        <v>30</v>
      </c>
      <c r="N622" s="14">
        <v>0</v>
      </c>
      <c r="O622" s="16"/>
      <c r="P622" s="6">
        <v>43340.596550925926</v>
      </c>
      <c r="Q622" s="11"/>
      <c r="R622" s="17" t="s">
        <v>2821</v>
      </c>
      <c r="S622" s="11"/>
      <c r="T622" s="11"/>
      <c r="U622" s="10" t="str">
        <f>HYPERLINK("https://pbs.twimg.com/profile_images/1034415661274083329/zyZCfldz.jpg","View")</f>
        <v>View</v>
      </c>
    </row>
    <row r="623" spans="1:21" ht="51">
      <c r="A623" s="6">
        <v>43440.792361111111</v>
      </c>
      <c r="B623" s="7" t="str">
        <f>HYPERLINK("https://twitter.com/bitMomentum","@bitMomentum")</f>
        <v>@bitMomentum</v>
      </c>
      <c r="C623" s="8" t="s">
        <v>1889</v>
      </c>
      <c r="D623" s="9" t="s">
        <v>2132</v>
      </c>
      <c r="E623" s="10" t="str">
        <f>HYPERLINK("https://twitter.com/bitMomentum/status/1070739900029374465","1070739900029374465")</f>
        <v>1070739900029374465</v>
      </c>
      <c r="F623" s="11"/>
      <c r="G623" s="11"/>
      <c r="H623" s="11"/>
      <c r="I623" s="14">
        <v>0</v>
      </c>
      <c r="J623" s="14">
        <v>0</v>
      </c>
      <c r="K623" s="15" t="str">
        <f>HYPERLINK("http://www.bitmomentum.com","bitMomentum Bot")</f>
        <v>bitMomentum Bot</v>
      </c>
      <c r="L623" s="14">
        <v>10254</v>
      </c>
      <c r="M623" s="14">
        <v>1059</v>
      </c>
      <c r="N623" s="14">
        <v>263</v>
      </c>
      <c r="O623" s="16"/>
      <c r="P623" s="6">
        <v>41608.667511574073</v>
      </c>
      <c r="Q623" s="11"/>
      <c r="R623" s="17" t="s">
        <v>1897</v>
      </c>
      <c r="S623" s="13" t="s">
        <v>1898</v>
      </c>
      <c r="T623" s="11"/>
      <c r="U623" s="10" t="str">
        <f>HYPERLINK("https://pbs.twimg.com/profile_images/378800000862185241/20ij2H3u.png","View")</f>
        <v>View</v>
      </c>
    </row>
    <row r="624" spans="1:21" ht="51">
      <c r="A624" s="6">
        <v>43440.791678240741</v>
      </c>
      <c r="B624" s="7" t="str">
        <f>HYPERLINK("https://twitter.com/Cs_Asturias","@Cs_Asturias")</f>
        <v>@Cs_Asturias</v>
      </c>
      <c r="C624" s="8" t="s">
        <v>1845</v>
      </c>
      <c r="D624" s="9" t="s">
        <v>2133</v>
      </c>
      <c r="E624" s="10" t="str">
        <f>HYPERLINK("https://twitter.com/Cs_Asturias/status/1070739653735735296","1070739653735735296")</f>
        <v>1070739653735735296</v>
      </c>
      <c r="F624" s="11"/>
      <c r="G624" s="13" t="s">
        <v>2134</v>
      </c>
      <c r="H624" s="11"/>
      <c r="I624" s="14">
        <v>8</v>
      </c>
      <c r="J624" s="14">
        <v>12</v>
      </c>
      <c r="K624" s="15" t="str">
        <f>HYPERLINK("https://studio.twitter.com","Twitter Media Studio")</f>
        <v>Twitter Media Studio</v>
      </c>
      <c r="L624" s="14">
        <v>5720</v>
      </c>
      <c r="M624" s="14">
        <v>1485</v>
      </c>
      <c r="N624" s="14">
        <v>98</v>
      </c>
      <c r="O624" s="19" t="s">
        <v>42</v>
      </c>
      <c r="P624" s="6">
        <v>41704.560023148151</v>
      </c>
      <c r="Q624" s="11"/>
      <c r="R624" s="17" t="s">
        <v>1848</v>
      </c>
      <c r="S624" s="13" t="s">
        <v>822</v>
      </c>
      <c r="T624" s="11"/>
      <c r="U624" s="10" t="str">
        <f>HYPERLINK("https://pbs.twimg.com/profile_images/1053409692960075776/pqztNRjY.jpg","View")</f>
        <v>View</v>
      </c>
    </row>
    <row r="625" spans="1:21" ht="30.6">
      <c r="A625" s="6">
        <v>43440.791087962964</v>
      </c>
      <c r="B625" s="7" t="str">
        <f>HYPERLINK("https://twitter.com/negativo_stats","@negativo_stats")</f>
        <v>@negativo_stats</v>
      </c>
      <c r="C625" s="8" t="s">
        <v>171</v>
      </c>
      <c r="D625" s="9" t="s">
        <v>2135</v>
      </c>
      <c r="E625" s="10" t="str">
        <f>HYPERLINK("https://twitter.com/negativo_stats/status/1070739437921935360","1070739437921935360")</f>
        <v>1070739437921935360</v>
      </c>
      <c r="F625" s="11"/>
      <c r="G625" s="13" t="s">
        <v>2136</v>
      </c>
      <c r="H625" s="11"/>
      <c r="I625" s="14">
        <v>0</v>
      </c>
      <c r="J625" s="14">
        <v>0</v>
      </c>
      <c r="K625" s="15" t="str">
        <f>HYPERLINK("http://kosmonautica.es","Política Negativa")</f>
        <v>Política Negativa</v>
      </c>
      <c r="L625" s="14">
        <v>268</v>
      </c>
      <c r="M625" s="14">
        <v>788</v>
      </c>
      <c r="N625" s="14">
        <v>2</v>
      </c>
      <c r="O625" s="16"/>
      <c r="P625" s="6">
        <v>42171.770601851851</v>
      </c>
      <c r="Q625" s="12" t="s">
        <v>60</v>
      </c>
      <c r="R625" s="17" t="s">
        <v>174</v>
      </c>
      <c r="S625" s="11"/>
      <c r="T625" s="11"/>
      <c r="U625" s="10" t="str">
        <f>HYPERLINK("https://pbs.twimg.com/profile_images/628553625984438272/e-VHyhP1.png","View")</f>
        <v>View</v>
      </c>
    </row>
    <row r="626" spans="1:21" ht="51">
      <c r="A626" s="6">
        <v>43440.788993055554</v>
      </c>
      <c r="B626" s="7" t="str">
        <f>HYPERLINK("https://twitter.com/javiernegre10","@javiernegre10")</f>
        <v>@javiernegre10</v>
      </c>
      <c r="C626" s="8" t="s">
        <v>2140</v>
      </c>
      <c r="D626" s="9" t="s">
        <v>2142</v>
      </c>
      <c r="E626" s="10" t="str">
        <f>HYPERLINK("https://twitter.com/javiernegre10/status/1070738679709270016","1070738679709270016")</f>
        <v>1070738679709270016</v>
      </c>
      <c r="F626" s="11"/>
      <c r="G626" s="13" t="s">
        <v>2144</v>
      </c>
      <c r="H626" s="11"/>
      <c r="I626" s="14">
        <v>36</v>
      </c>
      <c r="J626" s="14">
        <v>92</v>
      </c>
      <c r="K626" s="15" t="str">
        <f>HYPERLINK("http://twitter.com/download/iphone","Twitter for iPhone")</f>
        <v>Twitter for iPhone</v>
      </c>
      <c r="L626" s="14">
        <v>23199</v>
      </c>
      <c r="M626" s="14">
        <v>4921</v>
      </c>
      <c r="N626" s="14">
        <v>234</v>
      </c>
      <c r="O626" s="16"/>
      <c r="P626" s="6">
        <v>40605.109085648146</v>
      </c>
      <c r="Q626" s="11"/>
      <c r="R626" s="17" t="s">
        <v>2148</v>
      </c>
      <c r="S626" s="11"/>
      <c r="T626" s="11"/>
      <c r="U626" s="10" t="str">
        <f>HYPERLINK("https://pbs.twimg.com/profile_images/1070768581208670208/1hMKXvwC.jpg","View")</f>
        <v>View</v>
      </c>
    </row>
    <row r="627" spans="1:21" ht="40.799999999999997">
      <c r="A627" s="6">
        <v>43440.788969907408</v>
      </c>
      <c r="B627" s="7" t="str">
        <f>HYPERLINK("https://twitter.com/mariano9605","@mariano9605")</f>
        <v>@mariano9605</v>
      </c>
      <c r="C627" s="8" t="s">
        <v>1381</v>
      </c>
      <c r="D627" s="9" t="s">
        <v>2827</v>
      </c>
      <c r="E627" s="10" t="str">
        <f>HYPERLINK("https://twitter.com/mariano9605/status/1070738671358394369","1070738671358394369")</f>
        <v>1070738671358394369</v>
      </c>
      <c r="F627" s="13" t="s">
        <v>2829</v>
      </c>
      <c r="G627" s="11"/>
      <c r="H627" s="11"/>
      <c r="I627" s="14">
        <v>4</v>
      </c>
      <c r="J627" s="14">
        <v>0</v>
      </c>
      <c r="K627" s="15" t="str">
        <f>HYPERLINK("http://twitter.com","Twitter Web Client")</f>
        <v>Twitter Web Client</v>
      </c>
      <c r="L627" s="14">
        <v>56286</v>
      </c>
      <c r="M627" s="14">
        <v>54122</v>
      </c>
      <c r="N627" s="14">
        <v>303</v>
      </c>
      <c r="O627" s="16"/>
      <c r="P627" s="6">
        <v>40869.915659722225</v>
      </c>
      <c r="Q627" s="12" t="s">
        <v>1383</v>
      </c>
      <c r="R627" s="17" t="s">
        <v>1384</v>
      </c>
      <c r="S627" s="11"/>
      <c r="T627" s="11"/>
      <c r="U627" s="10" t="str">
        <f>HYPERLINK("https://pbs.twimg.com/profile_images/427860629525757952/ohW7e5Pf.jpeg","View")</f>
        <v>View</v>
      </c>
    </row>
    <row r="628" spans="1:21" ht="51">
      <c r="A628" s="6">
        <v>43440.788252314815</v>
      </c>
      <c r="B628" s="7" t="str">
        <f>HYPERLINK("https://twitter.com/frankkyvela","@frankkyvela")</f>
        <v>@frankkyvela</v>
      </c>
      <c r="C628" s="8" t="s">
        <v>2151</v>
      </c>
      <c r="D628" s="9" t="s">
        <v>39</v>
      </c>
      <c r="E628" s="10" t="str">
        <f>HYPERLINK("https://twitter.com/frankkyvela/status/1070738413542932487","1070738413542932487")</f>
        <v>1070738413542932487</v>
      </c>
      <c r="F628" s="13" t="s">
        <v>2152</v>
      </c>
      <c r="G628" s="11"/>
      <c r="H628" s="11"/>
      <c r="I628" s="14">
        <v>0</v>
      </c>
      <c r="J628" s="14">
        <v>0</v>
      </c>
      <c r="K628" s="15" t="str">
        <f t="shared" ref="K628:K629" si="125">HYPERLINK("http://twitter.com/download/android","Twitter for Android")</f>
        <v>Twitter for Android</v>
      </c>
      <c r="L628" s="14">
        <v>210</v>
      </c>
      <c r="M628" s="14">
        <v>720</v>
      </c>
      <c r="N628" s="14">
        <v>2</v>
      </c>
      <c r="O628" s="16"/>
      <c r="P628" s="6">
        <v>40768.615868055553</v>
      </c>
      <c r="Q628" s="12" t="s">
        <v>2154</v>
      </c>
      <c r="R628" s="17" t="s">
        <v>2155</v>
      </c>
      <c r="S628" s="11"/>
      <c r="T628" s="11"/>
      <c r="U628" s="10" t="str">
        <f>HYPERLINK("https://pbs.twimg.com/profile_images/1063924816930111488/l6PRWQG4.jpg","View")</f>
        <v>View</v>
      </c>
    </row>
    <row r="629" spans="1:21" ht="51">
      <c r="A629" s="6">
        <v>43440.787997685184</v>
      </c>
      <c r="B629" s="7" t="str">
        <f>HYPERLINK("https://twitter.com/FreireALFONSO","@FreireALFONSO")</f>
        <v>@FreireALFONSO</v>
      </c>
      <c r="C629" s="8" t="s">
        <v>2157</v>
      </c>
      <c r="D629" s="9" t="s">
        <v>2158</v>
      </c>
      <c r="E629" s="10" t="str">
        <f>HYPERLINK("https://twitter.com/FreireALFONSO/status/1070738321641496579","1070738321641496579")</f>
        <v>1070738321641496579</v>
      </c>
      <c r="F629" s="13" t="s">
        <v>1316</v>
      </c>
      <c r="G629" s="11"/>
      <c r="H629" s="11"/>
      <c r="I629" s="14">
        <v>0</v>
      </c>
      <c r="J629" s="14">
        <v>0</v>
      </c>
      <c r="K629" s="15" t="str">
        <f t="shared" si="125"/>
        <v>Twitter for Android</v>
      </c>
      <c r="L629" s="14">
        <v>101</v>
      </c>
      <c r="M629" s="14">
        <v>84</v>
      </c>
      <c r="N629" s="14">
        <v>4</v>
      </c>
      <c r="O629" s="16"/>
      <c r="P629" s="6">
        <v>41195.865740740745</v>
      </c>
      <c r="Q629" s="12" t="s">
        <v>2161</v>
      </c>
      <c r="R629" s="17" t="s">
        <v>2162</v>
      </c>
      <c r="S629" s="11"/>
      <c r="T629" s="11"/>
      <c r="U629" s="10" t="str">
        <f>HYPERLINK("https://pbs.twimg.com/profile_images/1040311561552887808/pTkAtlbw.jpg","View")</f>
        <v>View</v>
      </c>
    </row>
    <row r="630" spans="1:21" ht="20.399999999999999">
      <c r="A630" s="6">
        <v>43440.786215277782</v>
      </c>
      <c r="B630" s="7" t="str">
        <f>HYPERLINK("https://twitter.com/PIbarrondo","@PIbarrondo")</f>
        <v>@PIbarrondo</v>
      </c>
      <c r="C630" s="8" t="s">
        <v>2842</v>
      </c>
      <c r="D630" s="9" t="s">
        <v>2843</v>
      </c>
      <c r="E630" s="10" t="str">
        <f>HYPERLINK("https://twitter.com/PIbarrondo/status/1070737675370545157","1070737675370545157")</f>
        <v>1070737675370545157</v>
      </c>
      <c r="F630" s="13" t="s">
        <v>1262</v>
      </c>
      <c r="G630" s="11"/>
      <c r="H630" s="11"/>
      <c r="I630" s="14">
        <v>1</v>
      </c>
      <c r="J630" s="14">
        <v>0</v>
      </c>
      <c r="K630" s="15" t="str">
        <f>HYPERLINK("http://twitter.com","Twitter Web Client")</f>
        <v>Twitter Web Client</v>
      </c>
      <c r="L630" s="14">
        <v>1593</v>
      </c>
      <c r="M630" s="14">
        <v>3340</v>
      </c>
      <c r="N630" s="14">
        <v>30</v>
      </c>
      <c r="O630" s="16"/>
      <c r="P630" s="6">
        <v>40858.361458333333</v>
      </c>
      <c r="Q630" s="12" t="s">
        <v>2846</v>
      </c>
      <c r="R630" s="17" t="s">
        <v>2847</v>
      </c>
      <c r="S630" s="13" t="s">
        <v>2849</v>
      </c>
      <c r="T630" s="11"/>
      <c r="U630" s="10" t="str">
        <f>HYPERLINK("https://pbs.twimg.com/profile_images/723627175472160769/3Iv--4hA.jpg","View")</f>
        <v>View</v>
      </c>
    </row>
    <row r="631" spans="1:21" ht="102">
      <c r="A631" s="6">
        <v>43440.783379629633</v>
      </c>
      <c r="B631" s="7" t="str">
        <f>HYPERLINK("https://twitter.com/doguionrego","@doguionrego")</f>
        <v>@doguionrego</v>
      </c>
      <c r="C631" s="8" t="s">
        <v>756</v>
      </c>
      <c r="D631" s="9" t="s">
        <v>2173</v>
      </c>
      <c r="E631" s="10" t="str">
        <f>HYPERLINK("https://twitter.com/doguionrego/status/1070736647283712000","1070736647283712000")</f>
        <v>1070736647283712000</v>
      </c>
      <c r="F631" s="12" t="s">
        <v>2174</v>
      </c>
      <c r="G631" s="11"/>
      <c r="H631" s="11"/>
      <c r="I631" s="14">
        <v>0</v>
      </c>
      <c r="J631" s="14">
        <v>0</v>
      </c>
      <c r="K631" s="15" t="str">
        <f t="shared" ref="K631:K632" si="126">HYPERLINK("http://twitter.com/download/android","Twitter for Android")</f>
        <v>Twitter for Android</v>
      </c>
      <c r="L631" s="14">
        <v>4649</v>
      </c>
      <c r="M631" s="14">
        <v>4774</v>
      </c>
      <c r="N631" s="14">
        <v>9</v>
      </c>
      <c r="O631" s="16"/>
      <c r="P631" s="6">
        <v>42818.633599537032</v>
      </c>
      <c r="Q631" s="12" t="s">
        <v>137</v>
      </c>
      <c r="R631" s="17" t="s">
        <v>761</v>
      </c>
      <c r="S631" s="11"/>
      <c r="T631" s="11"/>
      <c r="U631" s="10" t="str">
        <f>HYPERLINK("https://pbs.twimg.com/profile_images/937615481602789376/OBa7YPsM.jpg","View")</f>
        <v>View</v>
      </c>
    </row>
    <row r="632" spans="1:21" ht="20.399999999999999">
      <c r="A632" s="6">
        <v>43440.783275462964</v>
      </c>
      <c r="B632" s="7" t="str">
        <f>HYPERLINK("https://twitter.com/Nopuedorrr1","@Nopuedorrr1")</f>
        <v>@Nopuedorrr1</v>
      </c>
      <c r="C632" s="8" t="s">
        <v>2181</v>
      </c>
      <c r="D632" s="9" t="s">
        <v>2183</v>
      </c>
      <c r="E632" s="10" t="str">
        <f>HYPERLINK("https://twitter.com/Nopuedorrr1/status/1070736608679337990","1070736608679337990")</f>
        <v>1070736608679337990</v>
      </c>
      <c r="F632" s="13" t="s">
        <v>2184</v>
      </c>
      <c r="G632" s="11"/>
      <c r="H632" s="11"/>
      <c r="I632" s="14">
        <v>0</v>
      </c>
      <c r="J632" s="14">
        <v>0</v>
      </c>
      <c r="K632" s="15" t="str">
        <f t="shared" si="126"/>
        <v>Twitter for Android</v>
      </c>
      <c r="L632" s="14">
        <v>0</v>
      </c>
      <c r="M632" s="14">
        <v>28</v>
      </c>
      <c r="N632" s="14">
        <v>0</v>
      </c>
      <c r="O632" s="16"/>
      <c r="P632" s="6">
        <v>43262.732268518521</v>
      </c>
      <c r="Q632" s="11"/>
      <c r="R632" s="17" t="s">
        <v>2185</v>
      </c>
      <c r="S632" s="11"/>
      <c r="T632" s="11"/>
      <c r="U632" s="19" t="s">
        <v>629</v>
      </c>
    </row>
    <row r="633" spans="1:21" ht="71.400000000000006">
      <c r="A633" s="6">
        <v>43440.781759259262</v>
      </c>
      <c r="B633" s="7" t="str">
        <f>HYPERLINK("https://twitter.com/pacopamora","@pacopamora")</f>
        <v>@pacopamora</v>
      </c>
      <c r="C633" s="8" t="s">
        <v>2853</v>
      </c>
      <c r="D633" s="9" t="s">
        <v>2854</v>
      </c>
      <c r="E633" s="10" t="str">
        <f>HYPERLINK("https://twitter.com/pacopamora/status/1070736057564610565","1070736057564610565")</f>
        <v>1070736057564610565</v>
      </c>
      <c r="F633" s="13" t="s">
        <v>2056</v>
      </c>
      <c r="G633" s="13" t="s">
        <v>2057</v>
      </c>
      <c r="H633" s="11"/>
      <c r="I633" s="14">
        <v>0</v>
      </c>
      <c r="J633" s="14">
        <v>0</v>
      </c>
      <c r="K633" s="15" t="str">
        <f>HYPERLINK("http://twitter.com","Twitter Web Client")</f>
        <v>Twitter Web Client</v>
      </c>
      <c r="L633" s="14">
        <v>1008</v>
      </c>
      <c r="M633" s="14">
        <v>2322</v>
      </c>
      <c r="N633" s="14">
        <v>3</v>
      </c>
      <c r="O633" s="16"/>
      <c r="P633" s="6">
        <v>42623.516782407409</v>
      </c>
      <c r="Q633" s="12" t="s">
        <v>2858</v>
      </c>
      <c r="R633" s="17" t="s">
        <v>2859</v>
      </c>
      <c r="S633" s="11"/>
      <c r="T633" s="11"/>
      <c r="U633" s="10" t="str">
        <f>HYPERLINK("https://pbs.twimg.com/profile_images/1069369988480491520/sjiMgj-9.jpg","View")</f>
        <v>View</v>
      </c>
    </row>
    <row r="634" spans="1:21" ht="51">
      <c r="A634" s="6">
        <v>43440.779548611114</v>
      </c>
      <c r="B634" s="7" t="str">
        <f>HYPERLINK("https://twitter.com/finacapacete","@finacapacete")</f>
        <v>@finacapacete</v>
      </c>
      <c r="C634" s="8" t="s">
        <v>2189</v>
      </c>
      <c r="D634" s="9" t="s">
        <v>2190</v>
      </c>
      <c r="E634" s="10" t="str">
        <f>HYPERLINK("https://twitter.com/finacapacete/status/1070735256972599299","1070735256972599299")</f>
        <v>1070735256972599299</v>
      </c>
      <c r="F634" s="12" t="s">
        <v>2194</v>
      </c>
      <c r="G634" s="11"/>
      <c r="H634" s="11"/>
      <c r="I634" s="14">
        <v>0</v>
      </c>
      <c r="J634" s="14">
        <v>0</v>
      </c>
      <c r="K634" s="15" t="str">
        <f t="shared" ref="K634:K636" si="127">HYPERLINK("http://twitter.com/download/android","Twitter for Android")</f>
        <v>Twitter for Android</v>
      </c>
      <c r="L634" s="14">
        <v>1397</v>
      </c>
      <c r="M634" s="14">
        <v>1553</v>
      </c>
      <c r="N634" s="14">
        <v>12</v>
      </c>
      <c r="O634" s="16"/>
      <c r="P634" s="6">
        <v>41629.02820601852</v>
      </c>
      <c r="Q634" s="12" t="s">
        <v>2197</v>
      </c>
      <c r="R634" s="17" t="s">
        <v>2198</v>
      </c>
      <c r="S634" s="11"/>
      <c r="T634" s="11"/>
      <c r="U634" s="10" t="str">
        <f>HYPERLINK("https://pbs.twimg.com/profile_images/970690987675799552/dmwu2xhE.jpg","View")</f>
        <v>View</v>
      </c>
    </row>
    <row r="635" spans="1:21" ht="40.799999999999997">
      <c r="A635" s="6">
        <v>43440.778414351851</v>
      </c>
      <c r="B635" s="7" t="str">
        <f>HYPERLINK("https://twitter.com/PedroSanchez__","@PedroSanchez__")</f>
        <v>@PedroSanchez__</v>
      </c>
      <c r="C635" s="8" t="s">
        <v>2862</v>
      </c>
      <c r="D635" s="9" t="s">
        <v>534</v>
      </c>
      <c r="E635" s="10" t="str">
        <f>HYPERLINK("https://twitter.com/PedroSanchez__/status/1070734849110097920","1070734849110097920")</f>
        <v>1070734849110097920</v>
      </c>
      <c r="F635" s="13" t="s">
        <v>535</v>
      </c>
      <c r="G635" s="11"/>
      <c r="H635" s="11"/>
      <c r="I635" s="14">
        <v>2</v>
      </c>
      <c r="J635" s="14">
        <v>3</v>
      </c>
      <c r="K635" s="15" t="str">
        <f t="shared" si="127"/>
        <v>Twitter for Android</v>
      </c>
      <c r="L635" s="14">
        <v>1580</v>
      </c>
      <c r="M635" s="14">
        <v>2046</v>
      </c>
      <c r="N635" s="14">
        <v>14</v>
      </c>
      <c r="O635" s="16"/>
      <c r="P635" s="6">
        <v>40612.633090277777</v>
      </c>
      <c r="Q635" s="12" t="s">
        <v>2864</v>
      </c>
      <c r="R635" s="17" t="s">
        <v>2865</v>
      </c>
      <c r="S635" s="11"/>
      <c r="T635" s="11"/>
      <c r="U635" s="10" t="str">
        <f>HYPERLINK("https://pbs.twimg.com/profile_images/610063395950346240/YnDPnscw.jpg","View")</f>
        <v>View</v>
      </c>
    </row>
    <row r="636" spans="1:21" ht="51">
      <c r="A636" s="6">
        <v>43440.777986111112</v>
      </c>
      <c r="B636" s="7" t="str">
        <f>HYPERLINK("https://twitter.com/Marc_castro95","@Marc_castro95")</f>
        <v>@Marc_castro95</v>
      </c>
      <c r="C636" s="8" t="s">
        <v>2203</v>
      </c>
      <c r="D636" s="9" t="s">
        <v>2204</v>
      </c>
      <c r="E636" s="10" t="str">
        <f>HYPERLINK("https://twitter.com/Marc_castro95/status/1070734692306087937","1070734692306087937")</f>
        <v>1070734692306087937</v>
      </c>
      <c r="F636" s="11"/>
      <c r="G636" s="11"/>
      <c r="H636" s="11"/>
      <c r="I636" s="14">
        <v>0</v>
      </c>
      <c r="J636" s="14">
        <v>6</v>
      </c>
      <c r="K636" s="15" t="str">
        <f t="shared" si="127"/>
        <v>Twitter for Android</v>
      </c>
      <c r="L636" s="14">
        <v>570</v>
      </c>
      <c r="M636" s="14">
        <v>683</v>
      </c>
      <c r="N636" s="14">
        <v>2</v>
      </c>
      <c r="O636" s="16"/>
      <c r="P636" s="6">
        <v>40875.818715277775</v>
      </c>
      <c r="Q636" s="12" t="s">
        <v>508</v>
      </c>
      <c r="R636" s="17" t="s">
        <v>2205</v>
      </c>
      <c r="S636" s="11"/>
      <c r="T636" s="11"/>
      <c r="U636" s="10" t="str">
        <f>HYPERLINK("https://pbs.twimg.com/profile_images/967380240027803648/kxXVBS6T.jpg","View")</f>
        <v>View</v>
      </c>
    </row>
    <row r="637" spans="1:21" ht="30.6">
      <c r="A637" s="6">
        <v>43440.776539351849</v>
      </c>
      <c r="B637" s="7" t="str">
        <f>HYPERLINK("https://twitter.com/Noticias24horas","@Noticias24horas")</f>
        <v>@Noticias24horas</v>
      </c>
      <c r="C637" s="8" t="s">
        <v>2870</v>
      </c>
      <c r="D637" s="9" t="s">
        <v>2871</v>
      </c>
      <c r="E637" s="10" t="str">
        <f>HYPERLINK("https://twitter.com/Noticias24horas/status/1070734168626249728","1070734168626249728")</f>
        <v>1070734168626249728</v>
      </c>
      <c r="F637" s="13" t="s">
        <v>2872</v>
      </c>
      <c r="G637" s="11"/>
      <c r="H637" s="11"/>
      <c r="I637" s="14">
        <v>0</v>
      </c>
      <c r="J637" s="14">
        <v>1</v>
      </c>
      <c r="K637" s="15" t="str">
        <f t="shared" ref="K637:K638" si="128">HYPERLINK("http://twitter.com","Twitter Web Client")</f>
        <v>Twitter Web Client</v>
      </c>
      <c r="L637" s="14">
        <v>48037</v>
      </c>
      <c r="M637" s="14">
        <v>14696</v>
      </c>
      <c r="N637" s="14">
        <v>624</v>
      </c>
      <c r="O637" s="16"/>
      <c r="P637" s="6">
        <v>39799.161666666667</v>
      </c>
      <c r="Q637" s="12" t="s">
        <v>2874</v>
      </c>
      <c r="R637" s="17" t="s">
        <v>2875</v>
      </c>
      <c r="S637" s="13" t="s">
        <v>2876</v>
      </c>
      <c r="T637" s="11"/>
      <c r="U637" s="10" t="str">
        <f>HYPERLINK("https://pbs.twimg.com/profile_images/739091131011567616/GfKL7dJ1.jpg","View")</f>
        <v>View</v>
      </c>
    </row>
    <row r="638" spans="1:21" ht="20.399999999999999">
      <c r="A638" s="6">
        <v>43440.77553240741</v>
      </c>
      <c r="B638" s="7" t="str">
        <f>HYPERLINK("https://twitter.com/logarriguenc","@logarriguenc")</f>
        <v>@logarriguenc</v>
      </c>
      <c r="C638" s="8" t="s">
        <v>2206</v>
      </c>
      <c r="D638" s="9" t="s">
        <v>2207</v>
      </c>
      <c r="E638" s="10" t="str">
        <f>HYPERLINK("https://twitter.com/logarriguenc/status/1070733802895499265","1070733802895499265")</f>
        <v>1070733802895499265</v>
      </c>
      <c r="F638" s="11"/>
      <c r="G638" s="11"/>
      <c r="H638" s="11"/>
      <c r="I638" s="14">
        <v>0</v>
      </c>
      <c r="J638" s="14">
        <v>0</v>
      </c>
      <c r="K638" s="15" t="str">
        <f t="shared" si="128"/>
        <v>Twitter Web Client</v>
      </c>
      <c r="L638" s="14">
        <v>0</v>
      </c>
      <c r="M638" s="14">
        <v>6</v>
      </c>
      <c r="N638" s="14">
        <v>0</v>
      </c>
      <c r="O638" s="16"/>
      <c r="P638" s="6">
        <v>42176.653425925921</v>
      </c>
      <c r="Q638" s="11"/>
      <c r="R638" s="18"/>
      <c r="S638" s="11"/>
      <c r="T638" s="11"/>
      <c r="U638" s="19" t="s">
        <v>629</v>
      </c>
    </row>
    <row r="639" spans="1:21" ht="40.799999999999997">
      <c r="A639" s="6">
        <v>43440.771898148145</v>
      </c>
      <c r="B639" s="7" t="str">
        <f>HYPERLINK("https://twitter.com/RevoluSSSion","@RevoluSSSion")</f>
        <v>@RevoluSSSion</v>
      </c>
      <c r="C639" s="8" t="s">
        <v>1513</v>
      </c>
      <c r="D639" s="9" t="s">
        <v>2208</v>
      </c>
      <c r="E639" s="10" t="str">
        <f>HYPERLINK("https://twitter.com/RevoluSSSion/status/1070732487121358850","1070732487121358850")</f>
        <v>1070732487121358850</v>
      </c>
      <c r="F639" s="12" t="s">
        <v>2209</v>
      </c>
      <c r="G639" s="13" t="s">
        <v>2210</v>
      </c>
      <c r="H639" s="11"/>
      <c r="I639" s="14">
        <v>0</v>
      </c>
      <c r="J639" s="14">
        <v>1</v>
      </c>
      <c r="K639" s="15" t="str">
        <f>HYPERLINK("https://mobile.twitter.com","Twitter Lite")</f>
        <v>Twitter Lite</v>
      </c>
      <c r="L639" s="14">
        <v>695</v>
      </c>
      <c r="M639" s="14">
        <v>169</v>
      </c>
      <c r="N639" s="14">
        <v>10</v>
      </c>
      <c r="O639" s="16"/>
      <c r="P639" s="6">
        <v>41716.75854166667</v>
      </c>
      <c r="Q639" s="12" t="s">
        <v>1517</v>
      </c>
      <c r="R639" s="17" t="s">
        <v>1518</v>
      </c>
      <c r="S639" s="11"/>
      <c r="T639" s="11"/>
      <c r="U639" s="10" t="str">
        <f>HYPERLINK("https://pbs.twimg.com/profile_images/909049319185108992/D9aFi7y-.jpg","View")</f>
        <v>View</v>
      </c>
    </row>
    <row r="640" spans="1:21" ht="51">
      <c r="A640" s="6">
        <v>43440.770509259259</v>
      </c>
      <c r="B640" s="7" t="str">
        <f>HYPERLINK("https://twitter.com/aridane83","@aridane83")</f>
        <v>@aridane83</v>
      </c>
      <c r="C640" s="8" t="s">
        <v>2221</v>
      </c>
      <c r="D640" s="9" t="s">
        <v>2222</v>
      </c>
      <c r="E640" s="10" t="str">
        <f>HYPERLINK("https://twitter.com/aridane83/status/1070731984241086465","1070731984241086465")</f>
        <v>1070731984241086465</v>
      </c>
      <c r="F640" s="12" t="s">
        <v>2223</v>
      </c>
      <c r="G640" s="11"/>
      <c r="H640" s="11"/>
      <c r="I640" s="14">
        <v>0</v>
      </c>
      <c r="J640" s="14">
        <v>0</v>
      </c>
      <c r="K640" s="15" t="str">
        <f>HYPERLINK("http://twitter.com/download/android","Twitter for Android")</f>
        <v>Twitter for Android</v>
      </c>
      <c r="L640" s="14">
        <v>680</v>
      </c>
      <c r="M640" s="14">
        <v>644</v>
      </c>
      <c r="N640" s="14">
        <v>3</v>
      </c>
      <c r="O640" s="16"/>
      <c r="P640" s="6">
        <v>41199.848263888889</v>
      </c>
      <c r="Q640" s="11"/>
      <c r="R640" s="17" t="s">
        <v>2224</v>
      </c>
      <c r="S640" s="11"/>
      <c r="T640" s="11"/>
      <c r="U640" s="10" t="str">
        <f>HYPERLINK("https://pbs.twimg.com/profile_images/835953531672743936/R43pXDvq.jpg","View")</f>
        <v>View</v>
      </c>
    </row>
    <row r="641" spans="1:21" ht="30.6">
      <c r="A641" s="6">
        <v>43440.765277777777</v>
      </c>
      <c r="B641" s="7" t="str">
        <f>HYPERLINK("https://twitter.com/cspescados","@cspescados")</f>
        <v>@cspescados</v>
      </c>
      <c r="C641" s="8" t="s">
        <v>600</v>
      </c>
      <c r="D641" s="9" t="s">
        <v>2882</v>
      </c>
      <c r="E641" s="10" t="str">
        <f>HYPERLINK("https://twitter.com/cspescados/status/1070730086784135168","1070730086784135168")</f>
        <v>1070730086784135168</v>
      </c>
      <c r="F641" s="11"/>
      <c r="G641" s="13" t="s">
        <v>2884</v>
      </c>
      <c r="H641" s="11"/>
      <c r="I641" s="14">
        <v>47</v>
      </c>
      <c r="J641" s="14">
        <v>40</v>
      </c>
      <c r="K641" s="15" t="str">
        <f>HYPERLINK("https://about.twitter.com/products/tweetdeck","TweetDeck")</f>
        <v>TweetDeck</v>
      </c>
      <c r="L641" s="14">
        <v>14978</v>
      </c>
      <c r="M641" s="14">
        <v>818</v>
      </c>
      <c r="N641" s="14">
        <v>128</v>
      </c>
      <c r="O641" s="16"/>
      <c r="P641" s="6">
        <v>42097.732581018514</v>
      </c>
      <c r="Q641" s="12" t="s">
        <v>606</v>
      </c>
      <c r="R641" s="17" t="s">
        <v>607</v>
      </c>
      <c r="S641" s="13" t="s">
        <v>608</v>
      </c>
      <c r="T641" s="11"/>
      <c r="U641" s="10" t="str">
        <f>HYPERLINK("https://pbs.twimg.com/profile_images/600268890959126528/aC9kvTK_.jpg","View")</f>
        <v>View</v>
      </c>
    </row>
    <row r="642" spans="1:21" ht="40.799999999999997">
      <c r="A642" s="6">
        <v>43440.763483796298</v>
      </c>
      <c r="B642" s="7" t="str">
        <f>HYPERLINK("https://twitter.com/jlvergarab","@jlvergarab")</f>
        <v>@jlvergarab</v>
      </c>
      <c r="C642" s="8" t="s">
        <v>2225</v>
      </c>
      <c r="D642" s="9" t="s">
        <v>2226</v>
      </c>
      <c r="E642" s="10" t="str">
        <f>HYPERLINK("https://twitter.com/jlvergarab/status/1070729437858144256","1070729437858144256")</f>
        <v>1070729437858144256</v>
      </c>
      <c r="F642" s="11"/>
      <c r="G642" s="13" t="s">
        <v>2227</v>
      </c>
      <c r="H642" s="11"/>
      <c r="I642" s="14">
        <v>14</v>
      </c>
      <c r="J642" s="14">
        <v>23</v>
      </c>
      <c r="K642" s="15" t="str">
        <f>HYPERLINK("http://twitter.com/download/android","Twitter for Android")</f>
        <v>Twitter for Android</v>
      </c>
      <c r="L642" s="14">
        <v>251</v>
      </c>
      <c r="M642" s="14">
        <v>430</v>
      </c>
      <c r="N642" s="14">
        <v>182</v>
      </c>
      <c r="O642" s="16"/>
      <c r="P642" s="6">
        <v>42240.71329861111</v>
      </c>
      <c r="Q642" s="12" t="s">
        <v>2228</v>
      </c>
      <c r="R642" s="17" t="s">
        <v>2229</v>
      </c>
      <c r="S642" s="11"/>
      <c r="T642" s="11"/>
      <c r="U642" s="10" t="str">
        <f>HYPERLINK("https://pbs.twimg.com/profile_images/636881657706999808/ZFAF2vuz.jpg","View")</f>
        <v>View</v>
      </c>
    </row>
    <row r="643" spans="1:21" ht="30.6">
      <c r="A643" s="6">
        <v>43440.759155092594</v>
      </c>
      <c r="B643" s="7" t="str">
        <f>HYPERLINK("https://twitter.com/QUELCUTTI","@QUELCUTTI")</f>
        <v>@QUELCUTTI</v>
      </c>
      <c r="C643" s="8" t="s">
        <v>2891</v>
      </c>
      <c r="D643" s="9" t="s">
        <v>534</v>
      </c>
      <c r="E643" s="10" t="str">
        <f>HYPERLINK("https://twitter.com/QUELCUTTI/status/1070727869054234624","1070727869054234624")</f>
        <v>1070727869054234624</v>
      </c>
      <c r="F643" s="13" t="s">
        <v>535</v>
      </c>
      <c r="G643" s="11"/>
      <c r="H643" s="11"/>
      <c r="I643" s="14">
        <v>1</v>
      </c>
      <c r="J643" s="14">
        <v>2</v>
      </c>
      <c r="K643" s="15" t="str">
        <f>HYPERLINK("http://twitter.com","Twitter Web Client")</f>
        <v>Twitter Web Client</v>
      </c>
      <c r="L643" s="14">
        <v>1734</v>
      </c>
      <c r="M643" s="14">
        <v>1221</v>
      </c>
      <c r="N643" s="14">
        <v>44</v>
      </c>
      <c r="O643" s="16"/>
      <c r="P643" s="6">
        <v>40303.188287037039</v>
      </c>
      <c r="Q643" s="12" t="s">
        <v>2892</v>
      </c>
      <c r="R643" s="17" t="s">
        <v>2893</v>
      </c>
      <c r="S643" s="13" t="s">
        <v>2894</v>
      </c>
      <c r="T643" s="11"/>
      <c r="U643" s="10" t="str">
        <f>HYPERLINK("https://pbs.twimg.com/profile_images/1042908362696998915/9xBc3bSz.jpg","View")</f>
        <v>View</v>
      </c>
    </row>
    <row r="644" spans="1:21" ht="40.799999999999997">
      <c r="A644" s="6">
        <v>43440.758148148147</v>
      </c>
      <c r="B644" s="7" t="str">
        <f>HYPERLINK("https://twitter.com/ancormesa","@ancormesa")</f>
        <v>@ancormesa</v>
      </c>
      <c r="C644" s="8" t="s">
        <v>2230</v>
      </c>
      <c r="D644" s="9" t="s">
        <v>2231</v>
      </c>
      <c r="E644" s="10" t="str">
        <f>HYPERLINK("https://twitter.com/ancormesa/status/1070727501104713730","1070727501104713730")</f>
        <v>1070727501104713730</v>
      </c>
      <c r="F644" s="11"/>
      <c r="G644" s="13" t="s">
        <v>2232</v>
      </c>
      <c r="H644" s="11"/>
      <c r="I644" s="14">
        <v>13</v>
      </c>
      <c r="J644" s="14">
        <v>10</v>
      </c>
      <c r="K644" s="15" t="str">
        <f t="shared" ref="K644:K645" si="129">HYPERLINK("http://twitter.com/download/android","Twitter for Android")</f>
        <v>Twitter for Android</v>
      </c>
      <c r="L644" s="14">
        <v>1730</v>
      </c>
      <c r="M644" s="14">
        <v>2322</v>
      </c>
      <c r="N644" s="14">
        <v>11</v>
      </c>
      <c r="O644" s="16"/>
      <c r="P644" s="6">
        <v>40533.387175925927</v>
      </c>
      <c r="Q644" s="11"/>
      <c r="R644" s="17" t="s">
        <v>2233</v>
      </c>
      <c r="S644" s="13" t="s">
        <v>2235</v>
      </c>
      <c r="T644" s="11"/>
      <c r="U644" s="10" t="str">
        <f>HYPERLINK("https://pbs.twimg.com/profile_images/1054013028797214720/FFWK2FrK.jpg","View")</f>
        <v>View</v>
      </c>
    </row>
    <row r="645" spans="1:21" ht="40.799999999999997">
      <c r="A645" s="6">
        <v>43440.756365740745</v>
      </c>
      <c r="B645" s="7" t="str">
        <f>HYPERLINK("https://twitter.com/Cs_Guadalajara","@Cs_Guadalajara")</f>
        <v>@Cs_Guadalajara</v>
      </c>
      <c r="C645" s="8" t="s">
        <v>2238</v>
      </c>
      <c r="D645" s="9" t="s">
        <v>2239</v>
      </c>
      <c r="E645" s="10" t="str">
        <f>HYPERLINK("https://twitter.com/Cs_Guadalajara/status/1070726855597142017","1070726855597142017")</f>
        <v>1070726855597142017</v>
      </c>
      <c r="F645" s="13" t="s">
        <v>2240</v>
      </c>
      <c r="G645" s="11"/>
      <c r="H645" s="11"/>
      <c r="I645" s="14">
        <v>6</v>
      </c>
      <c r="J645" s="14">
        <v>11</v>
      </c>
      <c r="K645" s="15" t="str">
        <f t="shared" si="129"/>
        <v>Twitter for Android</v>
      </c>
      <c r="L645" s="14">
        <v>3213</v>
      </c>
      <c r="M645" s="14">
        <v>2390</v>
      </c>
      <c r="N645" s="14">
        <v>56</v>
      </c>
      <c r="O645" s="16"/>
      <c r="P645" s="6">
        <v>41874.941435185188</v>
      </c>
      <c r="Q645" s="12" t="s">
        <v>2244</v>
      </c>
      <c r="R645" s="17" t="s">
        <v>2245</v>
      </c>
      <c r="S645" s="13" t="s">
        <v>2246</v>
      </c>
      <c r="T645" s="11"/>
      <c r="U645" s="10" t="str">
        <f>HYPERLINK("https://pbs.twimg.com/profile_images/899521302339493888/baoQBrzP.jpg","View")</f>
        <v>View</v>
      </c>
    </row>
    <row r="646" spans="1:21" ht="51">
      <c r="A646" s="6">
        <v>43440.753541666665</v>
      </c>
      <c r="B646" s="7" t="str">
        <f>HYPERLINK("https://twitter.com/Cs_CLM","@Cs_CLM")</f>
        <v>@Cs_CLM</v>
      </c>
      <c r="C646" s="8" t="s">
        <v>2248</v>
      </c>
      <c r="D646" s="9" t="s">
        <v>2250</v>
      </c>
      <c r="E646" s="10" t="str">
        <f>HYPERLINK("https://twitter.com/Cs_CLM/status/1070725834951090177","1070725834951090177")</f>
        <v>1070725834951090177</v>
      </c>
      <c r="F646" s="11"/>
      <c r="G646" s="13" t="s">
        <v>2252</v>
      </c>
      <c r="H646" s="11"/>
      <c r="I646" s="14">
        <v>6</v>
      </c>
      <c r="J646" s="14">
        <v>8</v>
      </c>
      <c r="K646" s="15" t="str">
        <f>HYPERLINK("http://twitter.com/download/iphone","Twitter for iPhone")</f>
        <v>Twitter for iPhone</v>
      </c>
      <c r="L646" s="14">
        <v>4250</v>
      </c>
      <c r="M646" s="14">
        <v>630</v>
      </c>
      <c r="N646" s="14">
        <v>72</v>
      </c>
      <c r="O646" s="16"/>
      <c r="P646" s="6">
        <v>42106.981793981482</v>
      </c>
      <c r="Q646" s="12" t="s">
        <v>2255</v>
      </c>
      <c r="R646" s="17" t="s">
        <v>2256</v>
      </c>
      <c r="S646" s="13" t="s">
        <v>2257</v>
      </c>
      <c r="T646" s="11"/>
      <c r="U646" s="10" t="str">
        <f>HYPERLINK("https://pbs.twimg.com/profile_images/1053405513923416064/Z9jG76VP.jpg","View")</f>
        <v>View</v>
      </c>
    </row>
    <row r="647" spans="1:21" ht="51">
      <c r="A647" s="6">
        <v>43440.750694444447</v>
      </c>
      <c r="B647" s="7" t="str">
        <f>HYPERLINK("https://twitter.com/bitMomentum","@bitMomentum")</f>
        <v>@bitMomentum</v>
      </c>
      <c r="C647" s="8" t="s">
        <v>1889</v>
      </c>
      <c r="D647" s="9" t="s">
        <v>2258</v>
      </c>
      <c r="E647" s="10" t="str">
        <f>HYPERLINK("https://twitter.com/bitMomentum/status/1070724800446914560","1070724800446914560")</f>
        <v>1070724800446914560</v>
      </c>
      <c r="F647" s="11"/>
      <c r="G647" s="11"/>
      <c r="H647" s="11"/>
      <c r="I647" s="14">
        <v>3</v>
      </c>
      <c r="J647" s="14">
        <v>5</v>
      </c>
      <c r="K647" s="15" t="str">
        <f>HYPERLINK("http://www.bitmomentum.com","bitMomentum Bot")</f>
        <v>bitMomentum Bot</v>
      </c>
      <c r="L647" s="14">
        <v>10254</v>
      </c>
      <c r="M647" s="14">
        <v>1059</v>
      </c>
      <c r="N647" s="14">
        <v>263</v>
      </c>
      <c r="O647" s="16"/>
      <c r="P647" s="6">
        <v>41608.667511574073</v>
      </c>
      <c r="Q647" s="11"/>
      <c r="R647" s="17" t="s">
        <v>1897</v>
      </c>
      <c r="S647" s="13" t="s">
        <v>1898</v>
      </c>
      <c r="T647" s="11"/>
      <c r="U647" s="10" t="str">
        <f>HYPERLINK("https://pbs.twimg.com/profile_images/378800000862185241/20ij2H3u.png","View")</f>
        <v>View</v>
      </c>
    </row>
    <row r="648" spans="1:21" ht="51">
      <c r="A648" s="6">
        <v>43440.750381944439</v>
      </c>
      <c r="B648" s="7" t="str">
        <f>HYPERLINK("https://twitter.com/Playatuerta","@Playatuerta")</f>
        <v>@Playatuerta</v>
      </c>
      <c r="C648" s="8" t="s">
        <v>2903</v>
      </c>
      <c r="D648" s="9" t="s">
        <v>2904</v>
      </c>
      <c r="E648" s="10" t="str">
        <f>HYPERLINK("https://twitter.com/Playatuerta/status/1070724689977167872","1070724689977167872")</f>
        <v>1070724689977167872</v>
      </c>
      <c r="F648" s="13" t="s">
        <v>2905</v>
      </c>
      <c r="G648" s="13" t="s">
        <v>2906</v>
      </c>
      <c r="H648" s="11"/>
      <c r="I648" s="14">
        <v>0</v>
      </c>
      <c r="J648" s="14">
        <v>0</v>
      </c>
      <c r="K648" s="15" t="str">
        <f>HYPERLINK("https://dlvrit.com/","dlvr.it")</f>
        <v>dlvr.it</v>
      </c>
      <c r="L648" s="14">
        <v>729</v>
      </c>
      <c r="M648" s="14">
        <v>1611</v>
      </c>
      <c r="N648" s="14">
        <v>1</v>
      </c>
      <c r="O648" s="16"/>
      <c r="P648" s="6">
        <v>43028.871423611112</v>
      </c>
      <c r="Q648" s="12" t="s">
        <v>2909</v>
      </c>
      <c r="R648" s="17" t="s">
        <v>2910</v>
      </c>
      <c r="S648" s="11"/>
      <c r="T648" s="11"/>
      <c r="U648" s="10" t="str">
        <f>HYPERLINK("https://pbs.twimg.com/profile_images/1069197201379856385/DrkWos9G.jpg","View")</f>
        <v>View</v>
      </c>
    </row>
    <row r="649" spans="1:21" ht="51">
      <c r="A649" s="6">
        <v>43440.75001157407</v>
      </c>
      <c r="B649" s="7" t="str">
        <f>HYPERLINK("https://twitter.com/Cs_Asturias","@Cs_Asturias")</f>
        <v>@Cs_Asturias</v>
      </c>
      <c r="C649" s="8" t="s">
        <v>1845</v>
      </c>
      <c r="D649" s="9" t="s">
        <v>2260</v>
      </c>
      <c r="E649" s="10" t="str">
        <f>HYPERLINK("https://twitter.com/Cs_Asturias/status/1070724555105288192","1070724555105288192")</f>
        <v>1070724555105288192</v>
      </c>
      <c r="F649" s="11"/>
      <c r="G649" s="13" t="s">
        <v>2263</v>
      </c>
      <c r="H649" s="11"/>
      <c r="I649" s="14">
        <v>4</v>
      </c>
      <c r="J649" s="14">
        <v>4</v>
      </c>
      <c r="K649" s="15" t="str">
        <f>HYPERLINK("https://studio.twitter.com","Twitter Media Studio")</f>
        <v>Twitter Media Studio</v>
      </c>
      <c r="L649" s="14">
        <v>5720</v>
      </c>
      <c r="M649" s="14">
        <v>1485</v>
      </c>
      <c r="N649" s="14">
        <v>98</v>
      </c>
      <c r="O649" s="19" t="s">
        <v>42</v>
      </c>
      <c r="P649" s="6">
        <v>41704.560023148151</v>
      </c>
      <c r="Q649" s="11"/>
      <c r="R649" s="17" t="s">
        <v>1848</v>
      </c>
      <c r="S649" s="13" t="s">
        <v>822</v>
      </c>
      <c r="T649" s="11"/>
      <c r="U649" s="10" t="str">
        <f>HYPERLINK("https://pbs.twimg.com/profile_images/1053409692960075776/pqztNRjY.jpg","View")</f>
        <v>View</v>
      </c>
    </row>
    <row r="650" spans="1:21" ht="51">
      <c r="A650" s="6">
        <v>43440.749837962961</v>
      </c>
      <c r="B650" s="7" t="str">
        <f>HYPERLINK("https://twitter.com/chechyrosado","@chechyrosado")</f>
        <v>@chechyrosado</v>
      </c>
      <c r="C650" s="8" t="s">
        <v>2917</v>
      </c>
      <c r="D650" s="9" t="s">
        <v>2918</v>
      </c>
      <c r="E650" s="10" t="str">
        <f>HYPERLINK("https://twitter.com/chechyrosado/status/1070724490403999744","1070724490403999744")</f>
        <v>1070724490403999744</v>
      </c>
      <c r="F650" s="13" t="s">
        <v>2919</v>
      </c>
      <c r="G650" s="11"/>
      <c r="H650" s="11"/>
      <c r="I650" s="14">
        <v>0</v>
      </c>
      <c r="J650" s="14">
        <v>0</v>
      </c>
      <c r="K650" s="15" t="str">
        <f>HYPERLINK("http://www.facebook.com/twitter","Facebook")</f>
        <v>Facebook</v>
      </c>
      <c r="L650" s="14">
        <v>171</v>
      </c>
      <c r="M650" s="14">
        <v>479</v>
      </c>
      <c r="N650" s="14">
        <v>0</v>
      </c>
      <c r="O650" s="16"/>
      <c r="P650" s="6">
        <v>40562.734594907408</v>
      </c>
      <c r="Q650" s="12" t="s">
        <v>2920</v>
      </c>
      <c r="R650" s="17" t="s">
        <v>2921</v>
      </c>
      <c r="S650" s="11"/>
      <c r="T650" s="11"/>
      <c r="U650" s="10" t="str">
        <f>HYPERLINK("https://pbs.twimg.com/profile_images/722533634897522688/yQLKOv22.jpg","View")</f>
        <v>View</v>
      </c>
    </row>
    <row r="651" spans="1:21" ht="102">
      <c r="A651" s="6">
        <v>43440.74790509259</v>
      </c>
      <c r="B651" s="7" t="str">
        <f>HYPERLINK("https://twitter.com/Gata1_C","@Gata1_C")</f>
        <v>@Gata1_C</v>
      </c>
      <c r="C651" s="8" t="s">
        <v>246</v>
      </c>
      <c r="D651" s="9" t="s">
        <v>2270</v>
      </c>
      <c r="E651" s="10" t="str">
        <f>HYPERLINK("https://twitter.com/Gata1_C/status/1070723791653928966","1070723791653928966")</f>
        <v>1070723791653928966</v>
      </c>
      <c r="F651" s="13" t="s">
        <v>1822</v>
      </c>
      <c r="G651" s="13" t="s">
        <v>1823</v>
      </c>
      <c r="H651" s="11"/>
      <c r="I651" s="14">
        <v>8</v>
      </c>
      <c r="J651" s="14">
        <v>8</v>
      </c>
      <c r="K651" s="15" t="str">
        <f>HYPERLINK("http://twitter.com/download/android","Twitter for Android")</f>
        <v>Twitter for Android</v>
      </c>
      <c r="L651" s="14">
        <v>3876</v>
      </c>
      <c r="M651" s="14">
        <v>5000</v>
      </c>
      <c r="N651" s="14">
        <v>8</v>
      </c>
      <c r="O651" s="16"/>
      <c r="P651" s="6">
        <v>41393.042939814812</v>
      </c>
      <c r="Q651" s="12" t="s">
        <v>137</v>
      </c>
      <c r="R651" s="17" t="s">
        <v>252</v>
      </c>
      <c r="S651" s="11"/>
      <c r="T651" s="11"/>
      <c r="U651" s="10" t="str">
        <f>HYPERLINK("https://pbs.twimg.com/profile_images/1064357848287715333/GYr5W4W2.jpg","View")</f>
        <v>View</v>
      </c>
    </row>
    <row r="652" spans="1:21" ht="30.6">
      <c r="A652" s="6">
        <v>43440.747442129628</v>
      </c>
      <c r="B652" s="7" t="str">
        <f>HYPERLINK("https://twitter.com/NaranjitoExpres","@NaranjitoExpres")</f>
        <v>@NaranjitoExpres</v>
      </c>
      <c r="C652" s="8" t="s">
        <v>2924</v>
      </c>
      <c r="D652" s="9" t="s">
        <v>2925</v>
      </c>
      <c r="E652" s="10" t="str">
        <f>HYPERLINK("https://twitter.com/NaranjitoExpres/status/1070723623953014784","1070723623953014784")</f>
        <v>1070723623953014784</v>
      </c>
      <c r="F652" s="13" t="s">
        <v>2926</v>
      </c>
      <c r="G652" s="11"/>
      <c r="H652" s="11"/>
      <c r="I652" s="14">
        <v>0</v>
      </c>
      <c r="J652" s="14">
        <v>0</v>
      </c>
      <c r="K652" s="15" t="str">
        <f>HYPERLINK("https://ifttt.com","IFTTT")</f>
        <v>IFTTT</v>
      </c>
      <c r="L652" s="14">
        <v>1332</v>
      </c>
      <c r="M652" s="14">
        <v>1186</v>
      </c>
      <c r="N652" s="14">
        <v>8</v>
      </c>
      <c r="O652" s="16"/>
      <c r="P652" s="6">
        <v>42301.67768518519</v>
      </c>
      <c r="Q652" s="12" t="s">
        <v>60</v>
      </c>
      <c r="R652" s="17" t="s">
        <v>2927</v>
      </c>
      <c r="S652" s="13" t="s">
        <v>1587</v>
      </c>
      <c r="T652" s="11"/>
      <c r="U652" s="10" t="str">
        <f>HYPERLINK("https://pbs.twimg.com/profile_images/894744160279941120/fVCv-yaU.jpg","View")</f>
        <v>View</v>
      </c>
    </row>
    <row r="653" spans="1:21" ht="40.799999999999997">
      <c r="A653" s="6">
        <v>43440.746828703705</v>
      </c>
      <c r="B653" s="7" t="str">
        <f>HYPERLINK("https://twitter.com/chechyrosado","@chechyrosado")</f>
        <v>@chechyrosado</v>
      </c>
      <c r="C653" s="8" t="s">
        <v>2917</v>
      </c>
      <c r="D653" s="9" t="s">
        <v>2930</v>
      </c>
      <c r="E653" s="10" t="str">
        <f>HYPERLINK("https://twitter.com/chechyrosado/status/1070723399964602369","1070723399964602369")</f>
        <v>1070723399964602369</v>
      </c>
      <c r="F653" s="13" t="s">
        <v>2931</v>
      </c>
      <c r="G653" s="11"/>
      <c r="H653" s="11"/>
      <c r="I653" s="14">
        <v>0</v>
      </c>
      <c r="J653" s="14">
        <v>0</v>
      </c>
      <c r="K653" s="15" t="str">
        <f>HYPERLINK("http://www.facebook.com/twitter","Facebook")</f>
        <v>Facebook</v>
      </c>
      <c r="L653" s="14">
        <v>171</v>
      </c>
      <c r="M653" s="14">
        <v>479</v>
      </c>
      <c r="N653" s="14">
        <v>0</v>
      </c>
      <c r="O653" s="16"/>
      <c r="P653" s="6">
        <v>40562.734594907408</v>
      </c>
      <c r="Q653" s="12" t="s">
        <v>2920</v>
      </c>
      <c r="R653" s="17" t="s">
        <v>2921</v>
      </c>
      <c r="S653" s="11"/>
      <c r="T653" s="11"/>
      <c r="U653" s="10" t="str">
        <f>HYPERLINK("https://pbs.twimg.com/profile_images/722533634897522688/yQLKOv22.jpg","View")</f>
        <v>View</v>
      </c>
    </row>
    <row r="654" spans="1:21" ht="40.799999999999997">
      <c r="A654" s="6">
        <v>43440.744942129633</v>
      </c>
      <c r="B654" s="7" t="str">
        <f>HYPERLINK("https://twitter.com/PrimodelRivera1","@PrimodelRivera1")</f>
        <v>@PrimodelRivera1</v>
      </c>
      <c r="C654" s="8" t="s">
        <v>2278</v>
      </c>
      <c r="D654" s="9" t="s">
        <v>2279</v>
      </c>
      <c r="E654" s="10" t="str">
        <f>HYPERLINK("https://twitter.com/PrimodelRivera1/status/1070722717769482241","1070722717769482241")</f>
        <v>1070722717769482241</v>
      </c>
      <c r="F654" s="11"/>
      <c r="G654" s="13" t="s">
        <v>2280</v>
      </c>
      <c r="H654" s="11"/>
      <c r="I654" s="14">
        <v>3</v>
      </c>
      <c r="J654" s="14">
        <v>2</v>
      </c>
      <c r="K654" s="15" t="str">
        <f>HYPERLINK("http://twitter.com","Twitter Web Client")</f>
        <v>Twitter Web Client</v>
      </c>
      <c r="L654" s="14">
        <v>269</v>
      </c>
      <c r="M654" s="14">
        <v>19</v>
      </c>
      <c r="N654" s="14">
        <v>0</v>
      </c>
      <c r="O654" s="16"/>
      <c r="P654" s="6">
        <v>42485.805497685185</v>
      </c>
      <c r="Q654" s="12" t="s">
        <v>137</v>
      </c>
      <c r="R654" s="17" t="s">
        <v>2281</v>
      </c>
      <c r="S654" s="13" t="s">
        <v>2282</v>
      </c>
      <c r="T654" s="11"/>
      <c r="U654" s="10" t="str">
        <f>HYPERLINK("https://pbs.twimg.com/profile_images/1003564554322939904/RPsC0PZ9.jpg","View")</f>
        <v>View</v>
      </c>
    </row>
    <row r="655" spans="1:21" ht="40.799999999999997">
      <c r="A655" s="6">
        <v>43440.73809027778</v>
      </c>
      <c r="B655" s="7" t="str">
        <f>HYPERLINK("https://twitter.com/dakturdave","@dakturdave")</f>
        <v>@dakturdave</v>
      </c>
      <c r="C655" s="8" t="s">
        <v>2283</v>
      </c>
      <c r="D655" s="9" t="s">
        <v>2285</v>
      </c>
      <c r="E655" s="10" t="str">
        <f>HYPERLINK("https://twitter.com/dakturdave/status/1070720234930233344","1070720234930233344")</f>
        <v>1070720234930233344</v>
      </c>
      <c r="F655" s="11"/>
      <c r="G655" s="11"/>
      <c r="H655" s="11"/>
      <c r="I655" s="14">
        <v>0</v>
      </c>
      <c r="J655" s="14">
        <v>1</v>
      </c>
      <c r="K655" s="15" t="str">
        <f>HYPERLINK("http://twitter.com/download/android","Twitter for Android")</f>
        <v>Twitter for Android</v>
      </c>
      <c r="L655" s="14">
        <v>259</v>
      </c>
      <c r="M655" s="14">
        <v>467</v>
      </c>
      <c r="N655" s="14">
        <v>6</v>
      </c>
      <c r="O655" s="16"/>
      <c r="P655" s="6">
        <v>40565.781990740739</v>
      </c>
      <c r="Q655" s="11"/>
      <c r="R655" s="17" t="s">
        <v>2286</v>
      </c>
      <c r="S655" s="11"/>
      <c r="T655" s="11"/>
      <c r="U655" s="10" t="str">
        <f>HYPERLINK("https://pbs.twimg.com/profile_images/378800000610983136/e9c73b7ebd58ab95dcbf8f55c2b7980a.jpeg","View")</f>
        <v>View</v>
      </c>
    </row>
    <row r="656" spans="1:21" ht="40.799999999999997">
      <c r="A656" s="6">
        <v>43440.737905092596</v>
      </c>
      <c r="B656" s="7" t="str">
        <f>HYPERLINK("https://twitter.com/Sanfermin00","@Sanfermin00")</f>
        <v>@Sanfermin00</v>
      </c>
      <c r="C656" s="8" t="s">
        <v>2763</v>
      </c>
      <c r="D656" s="9" t="s">
        <v>2937</v>
      </c>
      <c r="E656" s="10" t="str">
        <f>HYPERLINK("https://twitter.com/Sanfermin00/status/1070720169100619781","1070720169100619781")</f>
        <v>1070720169100619781</v>
      </c>
      <c r="F656" s="13" t="s">
        <v>2938</v>
      </c>
      <c r="G656" s="11"/>
      <c r="H656" s="11"/>
      <c r="I656" s="14">
        <v>0</v>
      </c>
      <c r="J656" s="14">
        <v>0</v>
      </c>
      <c r="K656" s="15" t="str">
        <f>HYPERLINK("http://twitter.com","Twitter Web Client")</f>
        <v>Twitter Web Client</v>
      </c>
      <c r="L656" s="14">
        <v>16528</v>
      </c>
      <c r="M656" s="14">
        <v>13714</v>
      </c>
      <c r="N656" s="14">
        <v>122</v>
      </c>
      <c r="O656" s="16"/>
      <c r="P656" s="6">
        <v>42362.637083333335</v>
      </c>
      <c r="Q656" s="12" t="s">
        <v>2767</v>
      </c>
      <c r="R656" s="17" t="s">
        <v>2768</v>
      </c>
      <c r="S656" s="13" t="s">
        <v>2769</v>
      </c>
      <c r="T656" s="11"/>
      <c r="U656" s="10" t="str">
        <f>HYPERLINK("https://pbs.twimg.com/profile_images/1064102923624480768/j11dV2-u.jpg","View")</f>
        <v>View</v>
      </c>
    </row>
    <row r="657" spans="1:21" ht="51">
      <c r="A657" s="6">
        <v>43440.737766203703</v>
      </c>
      <c r="B657" s="7" t="str">
        <f>HYPERLINK("https://twitter.com/construyexitos","@construyexitos")</f>
        <v>@construyexitos</v>
      </c>
      <c r="C657" s="8" t="s">
        <v>2292</v>
      </c>
      <c r="D657" s="9" t="s">
        <v>2293</v>
      </c>
      <c r="E657" s="10" t="str">
        <f>HYPERLINK("https://twitter.com/construyexitos/status/1070720118743810048","1070720118743810048")</f>
        <v>1070720118743810048</v>
      </c>
      <c r="F657" s="12" t="s">
        <v>2294</v>
      </c>
      <c r="G657" s="11"/>
      <c r="H657" s="11"/>
      <c r="I657" s="14">
        <v>1</v>
      </c>
      <c r="J657" s="14">
        <v>0</v>
      </c>
      <c r="K657" s="15" t="str">
        <f>HYPERLINK("http://twitter.com/download/android","Twitter for Android")</f>
        <v>Twitter for Android</v>
      </c>
      <c r="L657" s="14">
        <v>4456</v>
      </c>
      <c r="M657" s="14">
        <v>4545</v>
      </c>
      <c r="N657" s="14">
        <v>16</v>
      </c>
      <c r="O657" s="16"/>
      <c r="P657" s="6">
        <v>40549.987187500003</v>
      </c>
      <c r="Q657" s="11"/>
      <c r="R657" s="17" t="s">
        <v>2297</v>
      </c>
      <c r="S657" s="11"/>
      <c r="T657" s="11"/>
      <c r="U657" s="10" t="str">
        <f>HYPERLINK("https://pbs.twimg.com/profile_images/2892203399/6a265595e6aeedf9586886d1b1191708.jpeg","View")</f>
        <v>View</v>
      </c>
    </row>
    <row r="658" spans="1:21" ht="51">
      <c r="A658" s="6">
        <v>43440.737511574072</v>
      </c>
      <c r="B658" s="7" t="str">
        <f>HYPERLINK("https://twitter.com/52municipios","@52municipios")</f>
        <v>@52municipios</v>
      </c>
      <c r="C658" s="8" t="s">
        <v>2943</v>
      </c>
      <c r="D658" s="9" t="s">
        <v>2944</v>
      </c>
      <c r="E658" s="10" t="str">
        <f>HYPERLINK("https://twitter.com/52municipios/status/1070720026431406081","1070720026431406081")</f>
        <v>1070720026431406081</v>
      </c>
      <c r="F658" s="11"/>
      <c r="G658" s="11"/>
      <c r="H658" s="11"/>
      <c r="I658" s="14">
        <v>20</v>
      </c>
      <c r="J658" s="14">
        <v>19</v>
      </c>
      <c r="K658" s="15" t="str">
        <f>HYPERLINK("http://twitter.com","Twitter Web Client")</f>
        <v>Twitter Web Client</v>
      </c>
      <c r="L658" s="14">
        <v>14864</v>
      </c>
      <c r="M658" s="14">
        <v>10444</v>
      </c>
      <c r="N658" s="14">
        <v>96</v>
      </c>
      <c r="O658" s="16"/>
      <c r="P658" s="6">
        <v>40982.798530092594</v>
      </c>
      <c r="Q658" s="12" t="s">
        <v>2945</v>
      </c>
      <c r="R658" s="17" t="s">
        <v>2946</v>
      </c>
      <c r="S658" s="13" t="s">
        <v>2947</v>
      </c>
      <c r="T658" s="11"/>
      <c r="U658" s="10" t="str">
        <f>HYPERLINK("https://pbs.twimg.com/profile_images/754954583374462976/nX2Tdx1P.jpg","View")</f>
        <v>View</v>
      </c>
    </row>
    <row r="659" spans="1:21" ht="102">
      <c r="A659" s="6">
        <v>43440.736817129626</v>
      </c>
      <c r="B659" s="7" t="str">
        <f>HYPERLINK("https://twitter.com/lugaricano","@lugaricano")</f>
        <v>@lugaricano</v>
      </c>
      <c r="C659" s="8" t="s">
        <v>2299</v>
      </c>
      <c r="D659" s="9" t="s">
        <v>2300</v>
      </c>
      <c r="E659" s="10" t="str">
        <f>HYPERLINK("https://twitter.com/lugaricano/status/1070719773292531712","1070719773292531712")</f>
        <v>1070719773292531712</v>
      </c>
      <c r="F659" s="13" t="s">
        <v>2056</v>
      </c>
      <c r="G659" s="13" t="s">
        <v>2057</v>
      </c>
      <c r="H659" s="11"/>
      <c r="I659" s="14">
        <v>34</v>
      </c>
      <c r="J659" s="14">
        <v>53</v>
      </c>
      <c r="K659" s="15" t="str">
        <f t="shared" ref="K659:K662" si="130">HYPERLINK("http://twitter.com/download/android","Twitter for Android")</f>
        <v>Twitter for Android</v>
      </c>
      <c r="L659" s="14">
        <v>62576</v>
      </c>
      <c r="M659" s="14">
        <v>213</v>
      </c>
      <c r="N659" s="14">
        <v>1282</v>
      </c>
      <c r="O659" s="19" t="s">
        <v>42</v>
      </c>
      <c r="P659" s="6">
        <v>40235.685486111113</v>
      </c>
      <c r="Q659" s="12" t="s">
        <v>2301</v>
      </c>
      <c r="R659" s="17" t="s">
        <v>2302</v>
      </c>
      <c r="S659" s="13" t="s">
        <v>2303</v>
      </c>
      <c r="T659" s="11"/>
      <c r="U659" s="10" t="str">
        <f>HYPERLINK("https://pbs.twimg.com/profile_images/702968581949153280/iJC6vcnF.jpg","View")</f>
        <v>View</v>
      </c>
    </row>
    <row r="660" spans="1:21" ht="40.799999999999997">
      <c r="A660" s="6">
        <v>43440.736087962963</v>
      </c>
      <c r="B660" s="7" t="str">
        <f>HYPERLINK("https://twitter.com/DDTheWolf1","@DDTheWolf1")</f>
        <v>@DDTheWolf1</v>
      </c>
      <c r="C660" s="8" t="s">
        <v>2951</v>
      </c>
      <c r="D660" s="9" t="s">
        <v>2952</v>
      </c>
      <c r="E660" s="10" t="str">
        <f>HYPERLINK("https://twitter.com/DDTheWolf1/status/1070719506698387456","1070719506698387456")</f>
        <v>1070719506698387456</v>
      </c>
      <c r="F660" s="12" t="s">
        <v>2953</v>
      </c>
      <c r="G660" s="13" t="s">
        <v>2954</v>
      </c>
      <c r="H660" s="11"/>
      <c r="I660" s="14">
        <v>0</v>
      </c>
      <c r="J660" s="14">
        <v>1</v>
      </c>
      <c r="K660" s="15" t="str">
        <f t="shared" si="130"/>
        <v>Twitter for Android</v>
      </c>
      <c r="L660" s="14">
        <v>240</v>
      </c>
      <c r="M660" s="14">
        <v>184</v>
      </c>
      <c r="N660" s="14">
        <v>3</v>
      </c>
      <c r="O660" s="16"/>
      <c r="P660" s="6">
        <v>41903.446342592593</v>
      </c>
      <c r="Q660" s="12" t="s">
        <v>2955</v>
      </c>
      <c r="R660" s="17" t="s">
        <v>2956</v>
      </c>
      <c r="S660" s="11"/>
      <c r="T660" s="11"/>
      <c r="U660" s="10" t="str">
        <f>HYPERLINK("https://pbs.twimg.com/profile_images/568461887575052288/MVGCrxLt.jpeg","View")</f>
        <v>View</v>
      </c>
    </row>
    <row r="661" spans="1:21" ht="102">
      <c r="A661" s="6">
        <v>43440.735763888893</v>
      </c>
      <c r="B661" s="7" t="str">
        <f>HYPERLINK("https://twitter.com/Ignacio53090997","@Ignacio53090997")</f>
        <v>@Ignacio53090997</v>
      </c>
      <c r="C661" s="8" t="s">
        <v>2306</v>
      </c>
      <c r="D661" s="9" t="s">
        <v>2308</v>
      </c>
      <c r="E661" s="10" t="str">
        <f>HYPERLINK("https://twitter.com/Ignacio53090997/status/1070719390000312320","1070719390000312320")</f>
        <v>1070719390000312320</v>
      </c>
      <c r="F661" s="13" t="s">
        <v>2310</v>
      </c>
      <c r="G661" s="13" t="s">
        <v>2313</v>
      </c>
      <c r="H661" s="11"/>
      <c r="I661" s="14">
        <v>0</v>
      </c>
      <c r="J661" s="14">
        <v>0</v>
      </c>
      <c r="K661" s="15" t="str">
        <f t="shared" si="130"/>
        <v>Twitter for Android</v>
      </c>
      <c r="L661" s="14">
        <v>521</v>
      </c>
      <c r="M661" s="14">
        <v>585</v>
      </c>
      <c r="N661" s="14">
        <v>1</v>
      </c>
      <c r="O661" s="16"/>
      <c r="P661" s="6">
        <v>43174.605115740742</v>
      </c>
      <c r="Q661" s="11"/>
      <c r="R661" s="17" t="s">
        <v>2314</v>
      </c>
      <c r="S661" s="11"/>
      <c r="T661" s="11"/>
      <c r="U661" s="10" t="str">
        <f>HYPERLINK("https://pbs.twimg.com/profile_images/1020686491838803968/_KtC9kO0.jpg","View")</f>
        <v>View</v>
      </c>
    </row>
    <row r="662" spans="1:21" ht="51">
      <c r="A662" s="6">
        <v>43440.734942129631</v>
      </c>
      <c r="B662" s="7" t="str">
        <f>HYPERLINK("https://twitter.com/MadridDirectoOM","@MadridDirectoOM")</f>
        <v>@MadridDirectoOM</v>
      </c>
      <c r="C662" s="8" t="s">
        <v>2959</v>
      </c>
      <c r="D662" s="9" t="s">
        <v>2960</v>
      </c>
      <c r="E662" s="10" t="str">
        <f>HYPERLINK("https://twitter.com/MadridDirectoOM/status/1070719093081325568","1070719093081325568")</f>
        <v>1070719093081325568</v>
      </c>
      <c r="F662" s="13" t="s">
        <v>2961</v>
      </c>
      <c r="G662" s="13" t="s">
        <v>2962</v>
      </c>
      <c r="H662" s="11"/>
      <c r="I662" s="14">
        <v>1</v>
      </c>
      <c r="J662" s="14">
        <v>0</v>
      </c>
      <c r="K662" s="15" t="str">
        <f t="shared" si="130"/>
        <v>Twitter for Android</v>
      </c>
      <c r="L662" s="14">
        <v>6117</v>
      </c>
      <c r="M662" s="14">
        <v>5335</v>
      </c>
      <c r="N662" s="14">
        <v>78</v>
      </c>
      <c r="O662" s="16"/>
      <c r="P662" s="6">
        <v>40886.460092592592</v>
      </c>
      <c r="Q662" s="12" t="s">
        <v>2963</v>
      </c>
      <c r="R662" s="17" t="s">
        <v>2964</v>
      </c>
      <c r="S662" s="13" t="s">
        <v>2965</v>
      </c>
      <c r="T662" s="11"/>
      <c r="U662" s="10" t="str">
        <f>HYPERLINK("https://pbs.twimg.com/profile_images/906436869944160256/s5XoxWwd.jpg","View")</f>
        <v>View</v>
      </c>
    </row>
    <row r="663" spans="1:21" ht="51">
      <c r="A663" s="6">
        <v>43440.7347337963</v>
      </c>
      <c r="B663" s="7" t="str">
        <f>HYPERLINK("https://twitter.com/Pablo_RM_13","@Pablo_RM_13")</f>
        <v>@Pablo_RM_13</v>
      </c>
      <c r="C663" s="8" t="s">
        <v>2315</v>
      </c>
      <c r="D663" s="9" t="s">
        <v>2316</v>
      </c>
      <c r="E663" s="10" t="str">
        <f>HYPERLINK("https://twitter.com/Pablo_RM_13/status/1070719015964819456","1070719015964819456")</f>
        <v>1070719015964819456</v>
      </c>
      <c r="F663" s="11"/>
      <c r="G663" s="11"/>
      <c r="H663" s="11"/>
      <c r="I663" s="14">
        <v>0</v>
      </c>
      <c r="J663" s="14">
        <v>1</v>
      </c>
      <c r="K663" s="15" t="str">
        <f>HYPERLINK("http://twitter.com","Twitter Web Client")</f>
        <v>Twitter Web Client</v>
      </c>
      <c r="L663" s="14">
        <v>2105</v>
      </c>
      <c r="M663" s="14">
        <v>1250</v>
      </c>
      <c r="N663" s="14">
        <v>26</v>
      </c>
      <c r="O663" s="16"/>
      <c r="P663" s="6">
        <v>42626.00445601852</v>
      </c>
      <c r="Q663" s="12" t="s">
        <v>2317</v>
      </c>
      <c r="R663" s="17" t="s">
        <v>2318</v>
      </c>
      <c r="S663" s="11"/>
      <c r="T663" s="11"/>
      <c r="U663" s="10" t="str">
        <f>HYPERLINK("https://pbs.twimg.com/profile_images/1056497072717905920/jd3ck4vA.jpg","View")</f>
        <v>View</v>
      </c>
    </row>
    <row r="664" spans="1:21" ht="51">
      <c r="A664" s="6">
        <v>43440.734166666662</v>
      </c>
      <c r="B664" s="7" t="str">
        <f>HYPERLINK("https://twitter.com/DrFlint5","@DrFlint5")</f>
        <v>@DrFlint5</v>
      </c>
      <c r="C664" s="8" t="s">
        <v>2319</v>
      </c>
      <c r="D664" s="9" t="s">
        <v>2320</v>
      </c>
      <c r="E664" s="10" t="str">
        <f>HYPERLINK("https://twitter.com/DrFlint5/status/1070718812637589504","1070718812637589504")</f>
        <v>1070718812637589504</v>
      </c>
      <c r="F664" s="11"/>
      <c r="G664" s="11"/>
      <c r="H664" s="11"/>
      <c r="I664" s="14">
        <v>0</v>
      </c>
      <c r="J664" s="14">
        <v>0</v>
      </c>
      <c r="K664" s="15" t="str">
        <f>HYPERLINK("http://twitter.com/download/android","Twitter for Android")</f>
        <v>Twitter for Android</v>
      </c>
      <c r="L664" s="14">
        <v>4</v>
      </c>
      <c r="M664" s="14">
        <v>22</v>
      </c>
      <c r="N664" s="14">
        <v>0</v>
      </c>
      <c r="O664" s="16"/>
      <c r="P664" s="6">
        <v>43440.5706712963</v>
      </c>
      <c r="Q664" s="11"/>
      <c r="R664" s="17" t="s">
        <v>2321</v>
      </c>
      <c r="S664" s="11"/>
      <c r="T664" s="11"/>
      <c r="U664" s="10" t="str">
        <f>HYPERLINK("https://pbs.twimg.com/profile_images/1070660626152861696/snQYvzt-.jpg","View")</f>
        <v>View</v>
      </c>
    </row>
    <row r="665" spans="1:21" ht="30.6">
      <c r="A665" s="6">
        <v>43440.733715277776</v>
      </c>
      <c r="B665" s="7" t="str">
        <f>HYPERLINK("https://twitter.com/NaranjitoExpres","@NaranjitoExpres")</f>
        <v>@NaranjitoExpres</v>
      </c>
      <c r="C665" s="8" t="s">
        <v>2924</v>
      </c>
      <c r="D665" s="9" t="s">
        <v>2969</v>
      </c>
      <c r="E665" s="10" t="str">
        <f>HYPERLINK("https://twitter.com/NaranjitoExpres/status/1070718647495217152","1070718647495217152")</f>
        <v>1070718647495217152</v>
      </c>
      <c r="F665" s="13" t="s">
        <v>2166</v>
      </c>
      <c r="G665" s="11"/>
      <c r="H665" s="11"/>
      <c r="I665" s="14">
        <v>0</v>
      </c>
      <c r="J665" s="14">
        <v>0</v>
      </c>
      <c r="K665" s="15" t="str">
        <f>HYPERLINK("https://ifttt.com","IFTTT")</f>
        <v>IFTTT</v>
      </c>
      <c r="L665" s="14">
        <v>1332</v>
      </c>
      <c r="M665" s="14">
        <v>1186</v>
      </c>
      <c r="N665" s="14">
        <v>8</v>
      </c>
      <c r="O665" s="16"/>
      <c r="P665" s="6">
        <v>42301.67768518519</v>
      </c>
      <c r="Q665" s="12" t="s">
        <v>60</v>
      </c>
      <c r="R665" s="17" t="s">
        <v>2927</v>
      </c>
      <c r="S665" s="13" t="s">
        <v>1587</v>
      </c>
      <c r="T665" s="11"/>
      <c r="U665" s="10" t="str">
        <f>HYPERLINK("https://pbs.twimg.com/profile_images/894744160279941120/fVCv-yaU.jpg","View")</f>
        <v>View</v>
      </c>
    </row>
    <row r="666" spans="1:21" ht="30.6">
      <c r="A666" s="6">
        <v>43440.733113425929</v>
      </c>
      <c r="B666" s="7" t="str">
        <f>HYPERLINK("https://twitter.com/Murcianico1975","@Murcianico1975")</f>
        <v>@Murcianico1975</v>
      </c>
      <c r="C666" s="8" t="s">
        <v>2322</v>
      </c>
      <c r="D666" s="9" t="s">
        <v>2323</v>
      </c>
      <c r="E666" s="10" t="str">
        <f>HYPERLINK("https://twitter.com/Murcianico1975/status/1070718431467585536","1070718431467585536")</f>
        <v>1070718431467585536</v>
      </c>
      <c r="F666" s="11"/>
      <c r="G666" s="13" t="s">
        <v>2324</v>
      </c>
      <c r="H666" s="11"/>
      <c r="I666" s="14">
        <v>0</v>
      </c>
      <c r="J666" s="14">
        <v>1</v>
      </c>
      <c r="K666" s="15" t="str">
        <f t="shared" ref="K666:K667" si="131">HYPERLINK("http://twitter.com/download/android","Twitter for Android")</f>
        <v>Twitter for Android</v>
      </c>
      <c r="L666" s="14">
        <v>546</v>
      </c>
      <c r="M666" s="14">
        <v>238</v>
      </c>
      <c r="N666" s="14">
        <v>7</v>
      </c>
      <c r="O666" s="16"/>
      <c r="P666" s="6">
        <v>42000.482847222222</v>
      </c>
      <c r="Q666" s="12" t="s">
        <v>2325</v>
      </c>
      <c r="R666" s="17" t="s">
        <v>2326</v>
      </c>
      <c r="S666" s="11"/>
      <c r="T666" s="11"/>
      <c r="U666" s="10" t="str">
        <f>HYPERLINK("https://pbs.twimg.com/profile_images/1025643964886601730/uoHBwEyI.jpg","View")</f>
        <v>View</v>
      </c>
    </row>
    <row r="667" spans="1:21" ht="71.400000000000006">
      <c r="A667" s="6">
        <v>43440.730972222227</v>
      </c>
      <c r="B667" s="7" t="str">
        <f>HYPERLINK("https://twitter.com/odin_freya","@odin_freya")</f>
        <v>@odin_freya</v>
      </c>
      <c r="C667" s="8" t="s">
        <v>2327</v>
      </c>
      <c r="D667" s="9" t="s">
        <v>2328</v>
      </c>
      <c r="E667" s="10" t="str">
        <f>HYPERLINK("https://twitter.com/odin_freya/status/1070717653667454977","1070717653667454977")</f>
        <v>1070717653667454977</v>
      </c>
      <c r="F667" s="12" t="s">
        <v>2329</v>
      </c>
      <c r="G667" s="11"/>
      <c r="H667" s="11"/>
      <c r="I667" s="14">
        <v>0</v>
      </c>
      <c r="J667" s="14">
        <v>1</v>
      </c>
      <c r="K667" s="15" t="str">
        <f t="shared" si="131"/>
        <v>Twitter for Android</v>
      </c>
      <c r="L667" s="14">
        <v>487</v>
      </c>
      <c r="M667" s="14">
        <v>672</v>
      </c>
      <c r="N667" s="14">
        <v>31</v>
      </c>
      <c r="O667" s="16"/>
      <c r="P667" s="6">
        <v>42282.954583333332</v>
      </c>
      <c r="Q667" s="11"/>
      <c r="R667" s="18"/>
      <c r="S667" s="11"/>
      <c r="T667" s="11"/>
      <c r="U667" s="10" t="str">
        <f>HYPERLINK("https://pbs.twimg.com/profile_images/732721062186737664/j8ea-EJv.jpg","View")</f>
        <v>View</v>
      </c>
    </row>
    <row r="668" spans="1:21" ht="30.6">
      <c r="A668" s="6">
        <v>43440.729166666672</v>
      </c>
      <c r="B668" s="7" t="str">
        <f>HYPERLINK("https://twitter.com/granadadigital","@granadadigital")</f>
        <v>@granadadigital</v>
      </c>
      <c r="C668" s="8" t="s">
        <v>2330</v>
      </c>
      <c r="D668" s="9" t="s">
        <v>2331</v>
      </c>
      <c r="E668" s="10" t="str">
        <f>HYPERLINK("https://twitter.com/granadadigital/status/1070717001155264513","1070717001155264513")</f>
        <v>1070717001155264513</v>
      </c>
      <c r="F668" s="13" t="s">
        <v>2332</v>
      </c>
      <c r="G668" s="13" t="s">
        <v>2333</v>
      </c>
      <c r="H668" s="11"/>
      <c r="I668" s="14">
        <v>0</v>
      </c>
      <c r="J668" s="14">
        <v>1</v>
      </c>
      <c r="K668" s="15" t="str">
        <f>HYPERLINK("https://about.twitter.com/products/tweetdeck","TweetDeck")</f>
        <v>TweetDeck</v>
      </c>
      <c r="L668" s="14">
        <v>26684</v>
      </c>
      <c r="M668" s="14">
        <v>490</v>
      </c>
      <c r="N668" s="14">
        <v>545</v>
      </c>
      <c r="O668" s="16"/>
      <c r="P668" s="6">
        <v>40288.435717592591</v>
      </c>
      <c r="Q668" s="12" t="s">
        <v>449</v>
      </c>
      <c r="R668" s="17" t="s">
        <v>2334</v>
      </c>
      <c r="S668" s="13" t="s">
        <v>2335</v>
      </c>
      <c r="T668" s="11"/>
      <c r="U668" s="10" t="str">
        <f>HYPERLINK("https://pbs.twimg.com/profile_images/1011882426166054912/j6gAT9mM.jpg","View")</f>
        <v>View</v>
      </c>
    </row>
    <row r="669" spans="1:21" ht="30.6">
      <c r="A669" s="6">
        <v>43440.728437500002</v>
      </c>
      <c r="B669" s="7" t="str">
        <f>HYPERLINK("https://twitter.com/apoloniogomez","@apoloniogomez")</f>
        <v>@apoloniogomez</v>
      </c>
      <c r="C669" s="8" t="s">
        <v>2336</v>
      </c>
      <c r="D669" s="9" t="s">
        <v>2337</v>
      </c>
      <c r="E669" s="10" t="str">
        <f>HYPERLINK("https://twitter.com/apoloniogomez/status/1070716735832121344","1070716735832121344")</f>
        <v>1070716735832121344</v>
      </c>
      <c r="F669" s="13" t="s">
        <v>535</v>
      </c>
      <c r="G669" s="11"/>
      <c r="H669" s="11"/>
      <c r="I669" s="14">
        <v>0</v>
      </c>
      <c r="J669" s="14">
        <v>1</v>
      </c>
      <c r="K669" s="15" t="str">
        <f>HYPERLINK("http://twitter.com/download/android","Twitter for Android")</f>
        <v>Twitter for Android</v>
      </c>
      <c r="L669" s="14">
        <v>3447</v>
      </c>
      <c r="M669" s="14">
        <v>3021</v>
      </c>
      <c r="N669" s="14">
        <v>107</v>
      </c>
      <c r="O669" s="16"/>
      <c r="P669" s="6">
        <v>40642.009722222225</v>
      </c>
      <c r="Q669" s="11"/>
      <c r="R669" s="17" t="s">
        <v>2338</v>
      </c>
      <c r="S669" s="13" t="s">
        <v>2339</v>
      </c>
      <c r="T669" s="11"/>
      <c r="U669" s="10" t="str">
        <f>HYPERLINK("https://pbs.twimg.com/profile_images/929371210311524352/laD0uIRT.jpg","View")</f>
        <v>View</v>
      </c>
    </row>
    <row r="670" spans="1:21" ht="51">
      <c r="A670" s="6">
        <v>43440.726747685185</v>
      </c>
      <c r="B670" s="7" t="str">
        <f>HYPERLINK("https://twitter.com/CiudadanosCs","@CiudadanosCs")</f>
        <v>@CiudadanosCs</v>
      </c>
      <c r="C670" s="8" t="s">
        <v>489</v>
      </c>
      <c r="D670" s="9" t="s">
        <v>2342</v>
      </c>
      <c r="E670" s="10" t="str">
        <f>HYPERLINK("https://twitter.com/CiudadanosCs/status/1070716125242159110","1070716125242159110")</f>
        <v>1070716125242159110</v>
      </c>
      <c r="F670" s="13" t="s">
        <v>535</v>
      </c>
      <c r="G670" s="13" t="s">
        <v>1994</v>
      </c>
      <c r="H670" s="11"/>
      <c r="I670" s="14">
        <v>49</v>
      </c>
      <c r="J670" s="14">
        <v>65</v>
      </c>
      <c r="K670" s="15" t="str">
        <f>HYPERLINK("http://twitter.com","Twitter Web Client")</f>
        <v>Twitter Web Client</v>
      </c>
      <c r="L670" s="14">
        <v>490821</v>
      </c>
      <c r="M670" s="14">
        <v>93557</v>
      </c>
      <c r="N670" s="14">
        <v>3338</v>
      </c>
      <c r="O670" s="19" t="s">
        <v>42</v>
      </c>
      <c r="P670" s="6">
        <v>39828.753460648149</v>
      </c>
      <c r="Q670" s="12" t="s">
        <v>137</v>
      </c>
      <c r="R670" s="17" t="s">
        <v>492</v>
      </c>
      <c r="S670" s="13" t="s">
        <v>493</v>
      </c>
      <c r="T670" s="11"/>
      <c r="U670" s="10" t="str">
        <f>HYPERLINK("https://pbs.twimg.com/profile_images/1053554096161075200/1z77_zBZ.jpg","View")</f>
        <v>View</v>
      </c>
    </row>
    <row r="671" spans="1:21" ht="40.799999999999997">
      <c r="A671" s="6">
        <v>43440.725289351853</v>
      </c>
      <c r="B671" s="7" t="str">
        <f>HYPERLINK("https://twitter.com/SDE_CS","@SDE_CS")</f>
        <v>@SDE_CS</v>
      </c>
      <c r="C671" s="8" t="s">
        <v>2976</v>
      </c>
      <c r="D671" s="9" t="s">
        <v>2977</v>
      </c>
      <c r="E671" s="10" t="str">
        <f>HYPERLINK("https://twitter.com/SDE_CS/status/1070715594306187264","1070715594306187264")</f>
        <v>1070715594306187264</v>
      </c>
      <c r="F671" s="13" t="s">
        <v>2095</v>
      </c>
      <c r="G671" s="11"/>
      <c r="H671" s="11"/>
      <c r="I671" s="14">
        <v>0</v>
      </c>
      <c r="J671" s="14">
        <v>0</v>
      </c>
      <c r="K671" s="15" t="str">
        <f>HYPERLINK("http://www.facebook.com/twitter","Facebook")</f>
        <v>Facebook</v>
      </c>
      <c r="L671" s="14">
        <v>926</v>
      </c>
      <c r="M671" s="14">
        <v>1136</v>
      </c>
      <c r="N671" s="14">
        <v>5</v>
      </c>
      <c r="O671" s="16"/>
      <c r="P671" s="6">
        <v>40655.134039351848</v>
      </c>
      <c r="Q671" s="12" t="s">
        <v>2978</v>
      </c>
      <c r="R671" s="17" t="s">
        <v>2979</v>
      </c>
      <c r="S671" s="11"/>
      <c r="T671" s="11"/>
      <c r="U671" s="10" t="str">
        <f>HYPERLINK("https://pbs.twimg.com/profile_images/1070678578252181504/PJcPHEJl.jpg","View")</f>
        <v>View</v>
      </c>
    </row>
    <row r="672" spans="1:21" ht="40.799999999999997">
      <c r="A672" s="6">
        <v>43440.720960648148</v>
      </c>
      <c r="B672" s="7" t="str">
        <f>HYPERLINK("https://twitter.com/Albert_Rivera","@Albert_Rivera")</f>
        <v>@Albert_Rivera</v>
      </c>
      <c r="C672" s="8" t="s">
        <v>443</v>
      </c>
      <c r="D672" s="9" t="s">
        <v>2981</v>
      </c>
      <c r="E672" s="10" t="str">
        <f>HYPERLINK("https://twitter.com/Albert_Rivera/status/1070714025225281537","1070714025225281537")</f>
        <v>1070714025225281537</v>
      </c>
      <c r="F672" s="13" t="s">
        <v>535</v>
      </c>
      <c r="G672" s="11"/>
      <c r="H672" s="11"/>
      <c r="I672" s="14">
        <v>325</v>
      </c>
      <c r="J672" s="14">
        <v>651</v>
      </c>
      <c r="K672" s="15" t="str">
        <f>HYPERLINK("http://twitter.com/download/iphone","Twitter for iPhone")</f>
        <v>Twitter for iPhone</v>
      </c>
      <c r="L672" s="14">
        <v>1075808</v>
      </c>
      <c r="M672" s="14">
        <v>2547</v>
      </c>
      <c r="N672" s="14">
        <v>5114</v>
      </c>
      <c r="O672" s="19" t="s">
        <v>42</v>
      </c>
      <c r="P672" s="6">
        <v>40205.748171296298</v>
      </c>
      <c r="Q672" s="12" t="s">
        <v>137</v>
      </c>
      <c r="R672" s="17" t="s">
        <v>450</v>
      </c>
      <c r="S672" s="13" t="s">
        <v>452</v>
      </c>
      <c r="T672" s="11"/>
      <c r="U672" s="10" t="str">
        <f>HYPERLINK("https://pbs.twimg.com/profile_images/1030708936779988993/RncDM4EZ.jpg","View")</f>
        <v>View</v>
      </c>
    </row>
    <row r="673" spans="1:21" ht="51">
      <c r="A673" s="6">
        <v>43440.718831018516</v>
      </c>
      <c r="B673" s="7" t="str">
        <f>HYPERLINK("https://twitter.com/EspanaJusta10","@EspanaJusta10")</f>
        <v>@EspanaJusta10</v>
      </c>
      <c r="C673" s="8" t="s">
        <v>2345</v>
      </c>
      <c r="D673" s="9" t="s">
        <v>39</v>
      </c>
      <c r="E673" s="10" t="str">
        <f>HYPERLINK("https://twitter.com/EspanaJusta10/status/1070713253456740352","1070713253456740352")</f>
        <v>1070713253456740352</v>
      </c>
      <c r="F673" s="13" t="s">
        <v>2348</v>
      </c>
      <c r="G673" s="11"/>
      <c r="H673" s="11"/>
      <c r="I673" s="14">
        <v>0</v>
      </c>
      <c r="J673" s="14">
        <v>0</v>
      </c>
      <c r="K673" s="15" t="str">
        <f>HYPERLINK("http://twitter.com","Twitter Web Client")</f>
        <v>Twitter Web Client</v>
      </c>
      <c r="L673" s="14">
        <v>341</v>
      </c>
      <c r="M673" s="14">
        <v>1076</v>
      </c>
      <c r="N673" s="14">
        <v>0</v>
      </c>
      <c r="O673" s="16"/>
      <c r="P673" s="6">
        <v>43384.003148148149</v>
      </c>
      <c r="Q673" s="12" t="s">
        <v>508</v>
      </c>
      <c r="R673" s="17" t="s">
        <v>2350</v>
      </c>
      <c r="S673" s="11"/>
      <c r="T673" s="11"/>
      <c r="U673" s="10" t="str">
        <f>HYPERLINK("https://pbs.twimg.com/profile_images/1050164153313320960/E5l4rbsK.jpg","View")</f>
        <v>View</v>
      </c>
    </row>
    <row r="674" spans="1:21" ht="61.2">
      <c r="A674" s="6">
        <v>43440.713645833333</v>
      </c>
      <c r="B674" s="7" t="str">
        <f>HYPERLINK("https://twitter.com/C_A_L_D_A_S","@C_A_L_D_A_S")</f>
        <v>@C_A_L_D_A_S</v>
      </c>
      <c r="C674" s="8" t="s">
        <v>2986</v>
      </c>
      <c r="D674" s="9" t="s">
        <v>2987</v>
      </c>
      <c r="E674" s="10" t="str">
        <f>HYPERLINK("https://twitter.com/C_A_L_D_A_S/status/1070711374987255808","1070711374987255808")</f>
        <v>1070711374987255808</v>
      </c>
      <c r="F674" s="13" t="s">
        <v>2988</v>
      </c>
      <c r="G674" s="13" t="s">
        <v>2989</v>
      </c>
      <c r="H674" s="11"/>
      <c r="I674" s="14">
        <v>0</v>
      </c>
      <c r="J674" s="14">
        <v>0</v>
      </c>
      <c r="K674" s="15" t="str">
        <f>HYPERLINK("https://dlvrit.com/","dlvr.it")</f>
        <v>dlvr.it</v>
      </c>
      <c r="L674" s="14">
        <v>32</v>
      </c>
      <c r="M674" s="14">
        <v>2</v>
      </c>
      <c r="N674" s="14">
        <v>1</v>
      </c>
      <c r="O674" s="16"/>
      <c r="P674" s="6">
        <v>42748.017685185187</v>
      </c>
      <c r="Q674" s="12" t="s">
        <v>2986</v>
      </c>
      <c r="R674" s="17" t="s">
        <v>2991</v>
      </c>
      <c r="S674" s="13" t="s">
        <v>2992</v>
      </c>
      <c r="T674" s="11"/>
      <c r="U674" s="10" t="str">
        <f>HYPERLINK("https://pbs.twimg.com/profile_images/821039194072039424/UYdNOKPC.jpg","View")</f>
        <v>View</v>
      </c>
    </row>
    <row r="675" spans="1:21" ht="51">
      <c r="A675" s="6">
        <v>43440.713414351849</v>
      </c>
      <c r="B675" s="7" t="str">
        <f>HYPERLINK("https://twitter.com/Hidroboy83","@Hidroboy83")</f>
        <v>@Hidroboy83</v>
      </c>
      <c r="C675" s="8" t="s">
        <v>2352</v>
      </c>
      <c r="D675" s="9" t="s">
        <v>2353</v>
      </c>
      <c r="E675" s="10" t="str">
        <f>HYPERLINK("https://twitter.com/Hidroboy83/status/1070711293714284545","1070711293714284545")</f>
        <v>1070711293714284545</v>
      </c>
      <c r="F675" s="11"/>
      <c r="G675" s="13" t="s">
        <v>2354</v>
      </c>
      <c r="H675" s="11"/>
      <c r="I675" s="14">
        <v>1</v>
      </c>
      <c r="J675" s="14">
        <v>2</v>
      </c>
      <c r="K675" s="15" t="str">
        <f>HYPERLINK("http://twitter.com","Twitter Web Client")</f>
        <v>Twitter Web Client</v>
      </c>
      <c r="L675" s="14">
        <v>2512</v>
      </c>
      <c r="M675" s="14">
        <v>94</v>
      </c>
      <c r="N675" s="14">
        <v>42</v>
      </c>
      <c r="O675" s="16"/>
      <c r="P675" s="6">
        <v>40674.985937500001</v>
      </c>
      <c r="Q675" s="12" t="s">
        <v>2355</v>
      </c>
      <c r="R675" s="17" t="s">
        <v>2356</v>
      </c>
      <c r="S675" s="13" t="s">
        <v>2357</v>
      </c>
      <c r="T675" s="11"/>
      <c r="U675" s="10" t="str">
        <f>HYPERLINK("https://pbs.twimg.com/profile_images/991829239002484741/bPjZdm2I.jpg","View")</f>
        <v>View</v>
      </c>
    </row>
    <row r="676" spans="1:21" ht="40.799999999999997">
      <c r="A676" s="6">
        <v>43440.712673611109</v>
      </c>
      <c r="B676" s="7" t="str">
        <f>HYPERLINK("https://twitter.com/AlbertoSBlanco","@AlbertoSBlanco")</f>
        <v>@AlbertoSBlanco</v>
      </c>
      <c r="C676" s="8" t="s">
        <v>2358</v>
      </c>
      <c r="D676" s="9" t="s">
        <v>2359</v>
      </c>
      <c r="E676" s="10" t="str">
        <f>HYPERLINK("https://twitter.com/AlbertoSBlanco/status/1070711024062468099","1070711024062468099")</f>
        <v>1070711024062468099</v>
      </c>
      <c r="F676" s="13" t="s">
        <v>2360</v>
      </c>
      <c r="G676" s="11"/>
      <c r="H676" s="11"/>
      <c r="I676" s="14">
        <v>0</v>
      </c>
      <c r="J676" s="14">
        <v>0</v>
      </c>
      <c r="K676" s="15" t="str">
        <f>HYPERLINK("http://twitter.com/download/android","Twitter for Android")</f>
        <v>Twitter for Android</v>
      </c>
      <c r="L676" s="14">
        <v>2667</v>
      </c>
      <c r="M676" s="14">
        <v>1400</v>
      </c>
      <c r="N676" s="14">
        <v>33</v>
      </c>
      <c r="O676" s="16"/>
      <c r="P676" s="6">
        <v>40747.720636574071</v>
      </c>
      <c r="Q676" s="11"/>
      <c r="R676" s="17" t="s">
        <v>2361</v>
      </c>
      <c r="S676" s="13" t="s">
        <v>2362</v>
      </c>
      <c r="T676" s="11"/>
      <c r="U676" s="10" t="str">
        <f>HYPERLINK("https://pbs.twimg.com/profile_images/966330983829135360/yRqQ0NN1.jpg","View")</f>
        <v>View</v>
      </c>
    </row>
    <row r="677" spans="1:21" ht="20.399999999999999">
      <c r="A677" s="6">
        <v>43440.7112962963</v>
      </c>
      <c r="B677" s="7" t="str">
        <f>HYPERLINK("https://twitter.com/ManuBalboa1","@ManuBalboa1")</f>
        <v>@ManuBalboa1</v>
      </c>
      <c r="C677" s="8" t="s">
        <v>2997</v>
      </c>
      <c r="D677" s="9" t="s">
        <v>2998</v>
      </c>
      <c r="E677" s="10" t="str">
        <f>HYPERLINK("https://twitter.com/ManuBalboa1/status/1070710526030827525","1070710526030827525")</f>
        <v>1070710526030827525</v>
      </c>
      <c r="F677" s="11"/>
      <c r="G677" s="13" t="s">
        <v>3000</v>
      </c>
      <c r="H677" s="11"/>
      <c r="I677" s="14">
        <v>0</v>
      </c>
      <c r="J677" s="14">
        <v>0</v>
      </c>
      <c r="K677" s="15" t="str">
        <f>HYPERLINK("https://mobile.twitter.com","Twitter Lite")</f>
        <v>Twitter Lite</v>
      </c>
      <c r="L677" s="14">
        <v>135</v>
      </c>
      <c r="M677" s="14">
        <v>49</v>
      </c>
      <c r="N677" s="14">
        <v>1</v>
      </c>
      <c r="O677" s="16"/>
      <c r="P677" s="6">
        <v>43228.075752314813</v>
      </c>
      <c r="Q677" s="11"/>
      <c r="R677" s="17" t="s">
        <v>3002</v>
      </c>
      <c r="S677" s="11"/>
      <c r="T677" s="11"/>
      <c r="U677" s="10" t="str">
        <f>HYPERLINK("https://pbs.twimg.com/profile_images/993641193912393728/8jr50NUa.jpg","View")</f>
        <v>View</v>
      </c>
    </row>
    <row r="678" spans="1:21" ht="51">
      <c r="A678" s="6">
        <v>43440.709027777775</v>
      </c>
      <c r="B678" s="7" t="str">
        <f>HYPERLINK("https://twitter.com/bitMomentum","@bitMomentum")</f>
        <v>@bitMomentum</v>
      </c>
      <c r="C678" s="8" t="s">
        <v>1889</v>
      </c>
      <c r="D678" s="9" t="s">
        <v>2369</v>
      </c>
      <c r="E678" s="10" t="str">
        <f>HYPERLINK("https://twitter.com/bitMomentum/status/1070709700621144067","1070709700621144067")</f>
        <v>1070709700621144067</v>
      </c>
      <c r="F678" s="11"/>
      <c r="G678" s="11"/>
      <c r="H678" s="11"/>
      <c r="I678" s="14">
        <v>0</v>
      </c>
      <c r="J678" s="14">
        <v>1</v>
      </c>
      <c r="K678" s="15" t="str">
        <f>HYPERLINK("http://www.bitmomentum.com","bitMomentum Bot")</f>
        <v>bitMomentum Bot</v>
      </c>
      <c r="L678" s="14">
        <v>10254</v>
      </c>
      <c r="M678" s="14">
        <v>1059</v>
      </c>
      <c r="N678" s="14">
        <v>263</v>
      </c>
      <c r="O678" s="16"/>
      <c r="P678" s="6">
        <v>41608.667511574073</v>
      </c>
      <c r="Q678" s="11"/>
      <c r="R678" s="17" t="s">
        <v>1897</v>
      </c>
      <c r="S678" s="13" t="s">
        <v>1898</v>
      </c>
      <c r="T678" s="11"/>
      <c r="U678" s="10" t="str">
        <f>HYPERLINK("https://pbs.twimg.com/profile_images/378800000862185241/20ij2H3u.png","View")</f>
        <v>View</v>
      </c>
    </row>
    <row r="679" spans="1:21" ht="40.799999999999997">
      <c r="A679" s="6">
        <v>43440.708333333328</v>
      </c>
      <c r="B679" s="7" t="str">
        <f>HYPERLINK("https://twitter.com/GaliciaMundiari","@GaliciaMundiari")</f>
        <v>@GaliciaMundiari</v>
      </c>
      <c r="C679" s="8" t="s">
        <v>2363</v>
      </c>
      <c r="D679" s="9" t="s">
        <v>3005</v>
      </c>
      <c r="E679" s="10" t="str">
        <f>HYPERLINK("https://twitter.com/GaliciaMundiari/status/1070709449688379392","1070709449688379392")</f>
        <v>1070709449688379392</v>
      </c>
      <c r="F679" s="13" t="s">
        <v>3007</v>
      </c>
      <c r="G679" s="11"/>
      <c r="H679" s="11"/>
      <c r="I679" s="14">
        <v>1</v>
      </c>
      <c r="J679" s="14">
        <v>0</v>
      </c>
      <c r="K679" s="15" t="str">
        <f>HYPERLINK("https://about.twitter.com/products/tweetdeck","TweetDeck")</f>
        <v>TweetDeck</v>
      </c>
      <c r="L679" s="14">
        <v>731</v>
      </c>
      <c r="M679" s="14">
        <v>1487</v>
      </c>
      <c r="N679" s="14">
        <v>31</v>
      </c>
      <c r="O679" s="16"/>
      <c r="P679" s="6">
        <v>41311.572812500002</v>
      </c>
      <c r="Q679" s="12" t="s">
        <v>2366</v>
      </c>
      <c r="R679" s="17" t="s">
        <v>2367</v>
      </c>
      <c r="S679" s="13" t="s">
        <v>2368</v>
      </c>
      <c r="T679" s="11"/>
      <c r="U679" s="10" t="str">
        <f>HYPERLINK("https://pbs.twimg.com/profile_images/983440522390929408/Q4V9I05R.jpg","View")</f>
        <v>View</v>
      </c>
    </row>
    <row r="680" spans="1:21" ht="20.399999999999999">
      <c r="A680" s="6">
        <v>43440.708240740743</v>
      </c>
      <c r="B680" s="7" t="str">
        <f>HYPERLINK("https://twitter.com/PBMarbeMalaga","@PBMarbeMalaga")</f>
        <v>@PBMarbeMalaga</v>
      </c>
      <c r="C680" s="8" t="s">
        <v>618</v>
      </c>
      <c r="D680" s="9" t="s">
        <v>3011</v>
      </c>
      <c r="E680" s="10" t="str">
        <f>HYPERLINK("https://twitter.com/PBMarbeMalaga/status/1070709419040743424","1070709419040743424")</f>
        <v>1070709419040743424</v>
      </c>
      <c r="F680" s="13" t="s">
        <v>3012</v>
      </c>
      <c r="G680" s="11"/>
      <c r="H680" s="11"/>
      <c r="I680" s="14">
        <v>0</v>
      </c>
      <c r="J680" s="14">
        <v>0</v>
      </c>
      <c r="K680" s="15" t="str">
        <f>HYPERLINK("https://javitang.ddns.net","PBMarbeMalaga")</f>
        <v>PBMarbeMalaga</v>
      </c>
      <c r="L680" s="14">
        <v>1316</v>
      </c>
      <c r="M680" s="14">
        <v>1358</v>
      </c>
      <c r="N680" s="14">
        <v>2</v>
      </c>
      <c r="O680" s="16"/>
      <c r="P680" s="6">
        <v>43149.814074074078</v>
      </c>
      <c r="Q680" s="12" t="s">
        <v>621</v>
      </c>
      <c r="R680" s="17" t="s">
        <v>622</v>
      </c>
      <c r="S680" s="11"/>
      <c r="T680" s="11"/>
      <c r="U680" s="10" t="str">
        <f>HYPERLINK("https://pbs.twimg.com/profile_images/965296691145531392/sAFnfUu2.jpg","View")</f>
        <v>View</v>
      </c>
    </row>
    <row r="681" spans="1:21" ht="40.799999999999997">
      <c r="A681" s="6">
        <v>43440.707719907412</v>
      </c>
      <c r="B681" s="7" t="str">
        <f>HYPERLINK("https://twitter.com/CiudadanosCs","@CiudadanosCs")</f>
        <v>@CiudadanosCs</v>
      </c>
      <c r="C681" s="8" t="s">
        <v>489</v>
      </c>
      <c r="D681" s="9" t="s">
        <v>2370</v>
      </c>
      <c r="E681" s="10" t="str">
        <f>HYPERLINK("https://twitter.com/CiudadanosCs/status/1070709228480983044","1070709228480983044")</f>
        <v>1070709228480983044</v>
      </c>
      <c r="F681" s="11"/>
      <c r="G681" s="13" t="s">
        <v>2372</v>
      </c>
      <c r="H681" s="11"/>
      <c r="I681" s="14">
        <v>39</v>
      </c>
      <c r="J681" s="14">
        <v>47</v>
      </c>
      <c r="K681" s="15" t="str">
        <f>HYPERLINK("http://twitter.com","Twitter Web Client")</f>
        <v>Twitter Web Client</v>
      </c>
      <c r="L681" s="14">
        <v>490821</v>
      </c>
      <c r="M681" s="14">
        <v>93557</v>
      </c>
      <c r="N681" s="14">
        <v>3338</v>
      </c>
      <c r="O681" s="19" t="s">
        <v>42</v>
      </c>
      <c r="P681" s="6">
        <v>39828.753460648149</v>
      </c>
      <c r="Q681" s="12" t="s">
        <v>137</v>
      </c>
      <c r="R681" s="17" t="s">
        <v>492</v>
      </c>
      <c r="S681" s="13" t="s">
        <v>493</v>
      </c>
      <c r="T681" s="11"/>
      <c r="U681" s="10" t="str">
        <f>HYPERLINK("https://pbs.twimg.com/profile_images/1053554096161075200/1z77_zBZ.jpg","View")</f>
        <v>View</v>
      </c>
    </row>
    <row r="682" spans="1:21" ht="51">
      <c r="A682" s="6">
        <v>43440.707465277781</v>
      </c>
      <c r="B682" s="7" t="str">
        <f>HYPERLINK("https://twitter.com/diariocadiz","@diariocadiz")</f>
        <v>@diariocadiz</v>
      </c>
      <c r="C682" s="8" t="s">
        <v>2373</v>
      </c>
      <c r="D682" s="9" t="s">
        <v>2374</v>
      </c>
      <c r="E682" s="10" t="str">
        <f>HYPERLINK("https://twitter.com/diariocadiz/status/1070709136562839552","1070709136562839552")</f>
        <v>1070709136562839552</v>
      </c>
      <c r="F682" s="13" t="s">
        <v>2375</v>
      </c>
      <c r="G682" s="11"/>
      <c r="H682" s="11"/>
      <c r="I682" s="14">
        <v>0</v>
      </c>
      <c r="J682" s="14">
        <v>0</v>
      </c>
      <c r="K682" s="15" t="str">
        <f>HYPERLINK("http://dogtrack.es","DogTrack_Oficial")</f>
        <v>DogTrack_Oficial</v>
      </c>
      <c r="L682" s="14">
        <v>84897</v>
      </c>
      <c r="M682" s="14">
        <v>66</v>
      </c>
      <c r="N682" s="14">
        <v>732</v>
      </c>
      <c r="O682" s="16"/>
      <c r="P682" s="6">
        <v>40596.748298611114</v>
      </c>
      <c r="Q682" s="12" t="s">
        <v>2376</v>
      </c>
      <c r="R682" s="17" t="s">
        <v>2377</v>
      </c>
      <c r="S682" s="13" t="s">
        <v>2378</v>
      </c>
      <c r="T682" s="11"/>
      <c r="U682" s="10" t="str">
        <f>HYPERLINK("https://pbs.twimg.com/profile_images/931158343888097281/PVq1eivx.jpg","View")</f>
        <v>View</v>
      </c>
    </row>
    <row r="683" spans="1:21" ht="51">
      <c r="A683" s="6">
        <v>43440.70579861111</v>
      </c>
      <c r="B683" s="7" t="str">
        <f>HYPERLINK("https://twitter.com/CiudadanosCs","@CiudadanosCs")</f>
        <v>@CiudadanosCs</v>
      </c>
      <c r="C683" s="8" t="s">
        <v>489</v>
      </c>
      <c r="D683" s="9" t="s">
        <v>2383</v>
      </c>
      <c r="E683" s="10" t="str">
        <f>HYPERLINK("https://twitter.com/CiudadanosCs/status/1070708531488309248","1070708531488309248")</f>
        <v>1070708531488309248</v>
      </c>
      <c r="F683" s="11"/>
      <c r="G683" s="13" t="s">
        <v>2384</v>
      </c>
      <c r="H683" s="11"/>
      <c r="I683" s="14">
        <v>76</v>
      </c>
      <c r="J683" s="14">
        <v>136</v>
      </c>
      <c r="K683" s="15" t="str">
        <f t="shared" ref="K683:K684" si="132">HYPERLINK("http://twitter.com","Twitter Web Client")</f>
        <v>Twitter Web Client</v>
      </c>
      <c r="L683" s="14">
        <v>490821</v>
      </c>
      <c r="M683" s="14">
        <v>93557</v>
      </c>
      <c r="N683" s="14">
        <v>3338</v>
      </c>
      <c r="O683" s="19" t="s">
        <v>42</v>
      </c>
      <c r="P683" s="6">
        <v>39828.753460648149</v>
      </c>
      <c r="Q683" s="12" t="s">
        <v>137</v>
      </c>
      <c r="R683" s="17" t="s">
        <v>492</v>
      </c>
      <c r="S683" s="13" t="s">
        <v>493</v>
      </c>
      <c r="T683" s="11"/>
      <c r="U683" s="10" t="str">
        <f>HYPERLINK("https://pbs.twimg.com/profile_images/1053554096161075200/1z77_zBZ.jpg","View")</f>
        <v>View</v>
      </c>
    </row>
    <row r="684" spans="1:21" ht="40.799999999999997">
      <c r="A684" s="6">
        <v>43440.705335648148</v>
      </c>
      <c r="B684" s="7" t="str">
        <f>HYPERLINK("https://twitter.com/mipiqueras","@mipiqueras")</f>
        <v>@mipiqueras</v>
      </c>
      <c r="C684" s="8" t="s">
        <v>2387</v>
      </c>
      <c r="D684" s="9" t="s">
        <v>2388</v>
      </c>
      <c r="E684" s="10" t="str">
        <f>HYPERLINK("https://twitter.com/mipiqueras/status/1070708362797563904","1070708362797563904")</f>
        <v>1070708362797563904</v>
      </c>
      <c r="F684" s="13" t="s">
        <v>2389</v>
      </c>
      <c r="G684" s="11"/>
      <c r="H684" s="11"/>
      <c r="I684" s="14">
        <v>0</v>
      </c>
      <c r="J684" s="14">
        <v>0</v>
      </c>
      <c r="K684" s="15" t="str">
        <f t="shared" si="132"/>
        <v>Twitter Web Client</v>
      </c>
      <c r="L684" s="14">
        <v>2111</v>
      </c>
      <c r="M684" s="14">
        <v>1681</v>
      </c>
      <c r="N684" s="14">
        <v>89</v>
      </c>
      <c r="O684" s="16"/>
      <c r="P684" s="6">
        <v>40681.970763888887</v>
      </c>
      <c r="Q684" s="11"/>
      <c r="R684" s="17" t="s">
        <v>2390</v>
      </c>
      <c r="S684" s="11"/>
      <c r="T684" s="11"/>
      <c r="U684" s="10" t="str">
        <f>HYPERLINK("https://pbs.twimg.com/profile_images/815694201623113728/4-NT9ZgN.jpg","View")</f>
        <v>View</v>
      </c>
    </row>
    <row r="685" spans="1:21" ht="81.599999999999994">
      <c r="A685" s="6">
        <v>43440.704953703702</v>
      </c>
      <c r="B685" s="7" t="str">
        <f>HYPERLINK("https://twitter.com/Casper_WY_82615","@Casper_WY_82615")</f>
        <v>@Casper_WY_82615</v>
      </c>
      <c r="C685" s="8" t="s">
        <v>3025</v>
      </c>
      <c r="D685" s="9" t="s">
        <v>3026</v>
      </c>
      <c r="E685" s="10" t="str">
        <f>HYPERLINK("https://twitter.com/Casper_WY_82615/status/1070708224788217856","1070708224788217856")</f>
        <v>1070708224788217856</v>
      </c>
      <c r="F685" s="13" t="s">
        <v>3027</v>
      </c>
      <c r="G685" s="11"/>
      <c r="H685" s="11"/>
      <c r="I685" s="14">
        <v>0</v>
      </c>
      <c r="J685" s="14">
        <v>0</v>
      </c>
      <c r="K685" s="15" t="str">
        <f>HYPERLINK("https://ifttt.com","IFTTT")</f>
        <v>IFTTT</v>
      </c>
      <c r="L685" s="14">
        <v>199</v>
      </c>
      <c r="M685" s="14">
        <v>23</v>
      </c>
      <c r="N685" s="14">
        <v>9</v>
      </c>
      <c r="O685" s="16"/>
      <c r="P685" s="6">
        <v>41691.687465277777</v>
      </c>
      <c r="Q685" s="12" t="s">
        <v>3028</v>
      </c>
      <c r="R685" s="17" t="s">
        <v>3029</v>
      </c>
      <c r="S685" s="13" t="s">
        <v>3030</v>
      </c>
      <c r="T685" s="11"/>
      <c r="U685" s="10" t="str">
        <f>HYPERLINK("https://pbs.twimg.com/profile_images/785695126970564608/TUM2T3KK.jpg","View")</f>
        <v>View</v>
      </c>
    </row>
    <row r="686" spans="1:21" ht="51">
      <c r="A686" s="6">
        <v>43440.70239583333</v>
      </c>
      <c r="B686" s="7" t="str">
        <f>HYPERLINK("https://twitter.com/CiudadanosCs","@CiudadanosCs")</f>
        <v>@CiudadanosCs</v>
      </c>
      <c r="C686" s="8" t="s">
        <v>489</v>
      </c>
      <c r="D686" s="9" t="s">
        <v>2391</v>
      </c>
      <c r="E686" s="10" t="str">
        <f>HYPERLINK("https://twitter.com/CiudadanosCs/status/1070707298308378626","1070707298308378626")</f>
        <v>1070707298308378626</v>
      </c>
      <c r="F686" s="11"/>
      <c r="G686" s="13" t="s">
        <v>2392</v>
      </c>
      <c r="H686" s="11"/>
      <c r="I686" s="14">
        <v>43</v>
      </c>
      <c r="J686" s="14">
        <v>65</v>
      </c>
      <c r="K686" s="15" t="str">
        <f>HYPERLINK("http://twitter.com","Twitter Web Client")</f>
        <v>Twitter Web Client</v>
      </c>
      <c r="L686" s="14">
        <v>490821</v>
      </c>
      <c r="M686" s="14">
        <v>93557</v>
      </c>
      <c r="N686" s="14">
        <v>3338</v>
      </c>
      <c r="O686" s="19" t="s">
        <v>42</v>
      </c>
      <c r="P686" s="6">
        <v>39828.753460648149</v>
      </c>
      <c r="Q686" s="12" t="s">
        <v>137</v>
      </c>
      <c r="R686" s="17" t="s">
        <v>492</v>
      </c>
      <c r="S686" s="13" t="s">
        <v>493</v>
      </c>
      <c r="T686" s="11"/>
      <c r="U686" s="10" t="str">
        <f>HYPERLINK("https://pbs.twimg.com/profile_images/1053554096161075200/1z77_zBZ.jpg","View")</f>
        <v>View</v>
      </c>
    </row>
    <row r="687" spans="1:21" ht="81.599999999999994">
      <c r="A687" s="6">
        <v>43440.701053240744</v>
      </c>
      <c r="B687" s="7" t="str">
        <f>HYPERLINK("https://twitter.com/miguelmibarrola","@miguelmibarrola")</f>
        <v>@miguelmibarrola</v>
      </c>
      <c r="C687" s="8" t="s">
        <v>2396</v>
      </c>
      <c r="D687" s="9" t="s">
        <v>2397</v>
      </c>
      <c r="E687" s="10" t="str">
        <f>HYPERLINK("https://twitter.com/miguelmibarrola/status/1070706813954387969","1070706813954387969")</f>
        <v>1070706813954387969</v>
      </c>
      <c r="F687" s="13" t="s">
        <v>2398</v>
      </c>
      <c r="G687" s="13" t="s">
        <v>2105</v>
      </c>
      <c r="H687" s="11"/>
      <c r="I687" s="14">
        <v>0</v>
      </c>
      <c r="J687" s="14">
        <v>0</v>
      </c>
      <c r="K687" s="15" t="str">
        <f>HYPERLINK("http://twitter.com/download/iphone","Twitter for iPhone")</f>
        <v>Twitter for iPhone</v>
      </c>
      <c r="L687" s="14">
        <v>128</v>
      </c>
      <c r="M687" s="14">
        <v>415</v>
      </c>
      <c r="N687" s="14">
        <v>1</v>
      </c>
      <c r="O687" s="16"/>
      <c r="P687" s="6">
        <v>40005.641956018517</v>
      </c>
      <c r="Q687" s="12" t="s">
        <v>29</v>
      </c>
      <c r="R687" s="17" t="s">
        <v>2401</v>
      </c>
      <c r="S687" s="11"/>
      <c r="T687" s="11"/>
      <c r="U687" s="10" t="str">
        <f>HYPERLINK("https://pbs.twimg.com/profile_images/874003385858609152/uapgUxSB.jpg","View")</f>
        <v>View</v>
      </c>
    </row>
    <row r="688" spans="1:21" ht="40.799999999999997">
      <c r="A688" s="6">
        <v>43440.700358796297</v>
      </c>
      <c r="B688" s="7" t="str">
        <f>HYPERLINK("https://twitter.com/CiudadanosCs","@CiudadanosCs")</f>
        <v>@CiudadanosCs</v>
      </c>
      <c r="C688" s="8" t="s">
        <v>489</v>
      </c>
      <c r="D688" s="9" t="s">
        <v>2404</v>
      </c>
      <c r="E688" s="10" t="str">
        <f>HYPERLINK("https://twitter.com/CiudadanosCs/status/1070706560769372160","1070706560769372160")</f>
        <v>1070706560769372160</v>
      </c>
      <c r="F688" s="11"/>
      <c r="G688" s="13" t="s">
        <v>2405</v>
      </c>
      <c r="H688" s="11"/>
      <c r="I688" s="14">
        <v>51</v>
      </c>
      <c r="J688" s="14">
        <v>80</v>
      </c>
      <c r="K688" s="15" t="str">
        <f>HYPERLINK("http://twitter.com","Twitter Web Client")</f>
        <v>Twitter Web Client</v>
      </c>
      <c r="L688" s="14">
        <v>490821</v>
      </c>
      <c r="M688" s="14">
        <v>93557</v>
      </c>
      <c r="N688" s="14">
        <v>3338</v>
      </c>
      <c r="O688" s="19" t="s">
        <v>42</v>
      </c>
      <c r="P688" s="6">
        <v>39828.753460648149</v>
      </c>
      <c r="Q688" s="12" t="s">
        <v>137</v>
      </c>
      <c r="R688" s="17" t="s">
        <v>492</v>
      </c>
      <c r="S688" s="13" t="s">
        <v>493</v>
      </c>
      <c r="T688" s="11"/>
      <c r="U688" s="10" t="str">
        <f>HYPERLINK("https://pbs.twimg.com/profile_images/1053554096161075200/1z77_zBZ.jpg","View")</f>
        <v>View</v>
      </c>
    </row>
    <row r="689" spans="1:21" ht="30.6">
      <c r="A689" s="6">
        <v>43440.699189814812</v>
      </c>
      <c r="B689" s="7" t="str">
        <f>HYPERLINK("https://twitter.com/jestradamo","@jestradamo")</f>
        <v>@jestradamo</v>
      </c>
      <c r="C689" s="8" t="s">
        <v>2406</v>
      </c>
      <c r="D689" s="9" t="s">
        <v>2407</v>
      </c>
      <c r="E689" s="10" t="str">
        <f>HYPERLINK("https://twitter.com/jestradamo/status/1070706135370481664","1070706135370481664")</f>
        <v>1070706135370481664</v>
      </c>
      <c r="F689" s="13" t="s">
        <v>1838</v>
      </c>
      <c r="G689" s="13" t="s">
        <v>2408</v>
      </c>
      <c r="H689" s="11"/>
      <c r="I689" s="14">
        <v>0</v>
      </c>
      <c r="J689" s="14">
        <v>0</v>
      </c>
      <c r="K689" s="15" t="str">
        <f t="shared" ref="K689:K690" si="133">HYPERLINK("http://twitter.com/download/android","Twitter for Android")</f>
        <v>Twitter for Android</v>
      </c>
      <c r="L689" s="14">
        <v>346</v>
      </c>
      <c r="M689" s="14">
        <v>1930</v>
      </c>
      <c r="N689" s="14">
        <v>1</v>
      </c>
      <c r="O689" s="16"/>
      <c r="P689" s="6">
        <v>41964.751030092593</v>
      </c>
      <c r="Q689" s="11"/>
      <c r="R689" s="17" t="s">
        <v>2409</v>
      </c>
      <c r="S689" s="11"/>
      <c r="T689" s="11"/>
      <c r="U689" s="10" t="str">
        <f>HYPERLINK("https://pbs.twimg.com/profile_images/1025384782681858049/X5VCCeui.jpg","View")</f>
        <v>View</v>
      </c>
    </row>
    <row r="690" spans="1:21" ht="40.799999999999997">
      <c r="A690" s="6">
        <v>43440.69395833333</v>
      </c>
      <c r="B690" s="7" t="str">
        <f>HYPERLINK("https://twitter.com/jaimejvidal","@jaimejvidal")</f>
        <v>@jaimejvidal</v>
      </c>
      <c r="C690" s="8" t="s">
        <v>3045</v>
      </c>
      <c r="D690" s="9" t="s">
        <v>3047</v>
      </c>
      <c r="E690" s="10" t="str">
        <f>HYPERLINK("https://twitter.com/jaimejvidal/status/1070704241092780042","1070704241092780042")</f>
        <v>1070704241092780042</v>
      </c>
      <c r="F690" s="11"/>
      <c r="G690" s="13" t="s">
        <v>3049</v>
      </c>
      <c r="H690" s="11"/>
      <c r="I690" s="14">
        <v>1</v>
      </c>
      <c r="J690" s="14">
        <v>0</v>
      </c>
      <c r="K690" s="15" t="str">
        <f t="shared" si="133"/>
        <v>Twitter for Android</v>
      </c>
      <c r="L690" s="14">
        <v>190</v>
      </c>
      <c r="M690" s="14">
        <v>629</v>
      </c>
      <c r="N690" s="14">
        <v>2</v>
      </c>
      <c r="O690" s="16"/>
      <c r="P690" s="6">
        <v>42165.479432870372</v>
      </c>
      <c r="Q690" s="11"/>
      <c r="R690" s="17" t="s">
        <v>3051</v>
      </c>
      <c r="S690" s="11"/>
      <c r="T690" s="11"/>
      <c r="U690" s="10" t="str">
        <f>HYPERLINK("https://pbs.twimg.com/profile_images/608746571438649345/f6GeDGfF.jpg","View")</f>
        <v>View</v>
      </c>
    </row>
    <row r="691" spans="1:21" ht="30.6">
      <c r="A691" s="6">
        <v>43440.69363425926</v>
      </c>
      <c r="B691" s="7" t="str">
        <f>HYPERLINK("https://twitter.com/CiudadanosCs","@CiudadanosCs")</f>
        <v>@CiudadanosCs</v>
      </c>
      <c r="C691" s="8" t="s">
        <v>489</v>
      </c>
      <c r="D691" s="9" t="s">
        <v>2410</v>
      </c>
      <c r="E691" s="10" t="str">
        <f>HYPERLINK("https://twitter.com/CiudadanosCs/status/1070704125334175744","1070704125334175744")</f>
        <v>1070704125334175744</v>
      </c>
      <c r="F691" s="11"/>
      <c r="G691" s="13" t="s">
        <v>2412</v>
      </c>
      <c r="H691" s="11"/>
      <c r="I691" s="14">
        <v>12</v>
      </c>
      <c r="J691" s="14">
        <v>20</v>
      </c>
      <c r="K691" s="15" t="str">
        <f>HYPERLINK("http://twitter.com","Twitter Web Client")</f>
        <v>Twitter Web Client</v>
      </c>
      <c r="L691" s="14">
        <v>490821</v>
      </c>
      <c r="M691" s="14">
        <v>93557</v>
      </c>
      <c r="N691" s="14">
        <v>3338</v>
      </c>
      <c r="O691" s="19" t="s">
        <v>42</v>
      </c>
      <c r="P691" s="6">
        <v>39828.753460648149</v>
      </c>
      <c r="Q691" s="12" t="s">
        <v>137</v>
      </c>
      <c r="R691" s="17" t="s">
        <v>492</v>
      </c>
      <c r="S691" s="13" t="s">
        <v>493</v>
      </c>
      <c r="T691" s="11"/>
      <c r="U691" s="10" t="str">
        <f>HYPERLINK("https://pbs.twimg.com/profile_images/1053554096161075200/1z77_zBZ.jpg","View")</f>
        <v>View</v>
      </c>
    </row>
    <row r="692" spans="1:21" ht="40.799999999999997">
      <c r="A692" s="6">
        <v>43440.692685185189</v>
      </c>
      <c r="B692" s="7" t="str">
        <f>HYPERLINK("https://twitter.com/diostuitero","@diostuitero")</f>
        <v>@diostuitero</v>
      </c>
      <c r="C692" s="8" t="s">
        <v>3057</v>
      </c>
      <c r="D692" s="9" t="s">
        <v>3058</v>
      </c>
      <c r="E692" s="10" t="str">
        <f>HYPERLINK("https://twitter.com/diostuitero/status/1070703777911631874","1070703777911631874")</f>
        <v>1070703777911631874</v>
      </c>
      <c r="F692" s="11"/>
      <c r="G692" s="11"/>
      <c r="H692" s="11"/>
      <c r="I692" s="14">
        <v>2558</v>
      </c>
      <c r="J692" s="14">
        <v>5309</v>
      </c>
      <c r="K692" s="15" t="str">
        <f>HYPERLINK("http://twitter.com/download/android","Twitter for Android")</f>
        <v>Twitter for Android</v>
      </c>
      <c r="L692" s="14">
        <v>478362</v>
      </c>
      <c r="M692" s="14">
        <v>995</v>
      </c>
      <c r="N692" s="14">
        <v>2896</v>
      </c>
      <c r="O692" s="16"/>
      <c r="P692" s="6">
        <v>41156.99927083333</v>
      </c>
      <c r="Q692" s="12" t="s">
        <v>3061</v>
      </c>
      <c r="R692" s="17" t="s">
        <v>3062</v>
      </c>
      <c r="S692" s="13" t="s">
        <v>3063</v>
      </c>
      <c r="T692" s="11"/>
      <c r="U692" s="10" t="str">
        <f>HYPERLINK("https://pbs.twimg.com/profile_images/831603470067257345/-Vk84NaH.jpg","View")</f>
        <v>View</v>
      </c>
    </row>
    <row r="693" spans="1:21" ht="40.799999999999997">
      <c r="A693" s="6">
        <v>43440.691921296297</v>
      </c>
      <c r="B693" s="7" t="str">
        <f>HYPERLINK("https://twitter.com/Famelica_legion","@Famelica_legion")</f>
        <v>@Famelica_legion</v>
      </c>
      <c r="C693" s="8" t="s">
        <v>3066</v>
      </c>
      <c r="D693" s="9" t="s">
        <v>3067</v>
      </c>
      <c r="E693" s="10" t="str">
        <f>HYPERLINK("https://twitter.com/Famelica_legion/status/1070703501649633281","1070703501649633281")</f>
        <v>1070703501649633281</v>
      </c>
      <c r="F693" s="13" t="s">
        <v>3068</v>
      </c>
      <c r="G693" s="11"/>
      <c r="H693" s="11"/>
      <c r="I693" s="14">
        <v>9</v>
      </c>
      <c r="J693" s="14">
        <v>10</v>
      </c>
      <c r="K693" s="15" t="str">
        <f t="shared" ref="K693:K694" si="134">HYPERLINK("http://twitter.com","Twitter Web Client")</f>
        <v>Twitter Web Client</v>
      </c>
      <c r="L693" s="14">
        <v>57320</v>
      </c>
      <c r="M693" s="14">
        <v>34746</v>
      </c>
      <c r="N693" s="14">
        <v>368</v>
      </c>
      <c r="O693" s="16"/>
      <c r="P693" s="6">
        <v>40999.601747685185</v>
      </c>
      <c r="Q693" s="11"/>
      <c r="R693" s="17" t="s">
        <v>3069</v>
      </c>
      <c r="S693" s="13" t="s">
        <v>3070</v>
      </c>
      <c r="T693" s="11"/>
      <c r="U693" s="10" t="str">
        <f>HYPERLINK("https://pbs.twimg.com/profile_images/875403697219620865/ni6ZDU-O.jpg","View")</f>
        <v>View</v>
      </c>
    </row>
    <row r="694" spans="1:21" ht="51">
      <c r="A694" s="6">
        <v>43440.688993055555</v>
      </c>
      <c r="B694" s="7" t="str">
        <f>HYPERLINK("https://twitter.com/geografoandaluz","@geografoandaluz")</f>
        <v>@geografoandaluz</v>
      </c>
      <c r="C694" s="8" t="s">
        <v>2418</v>
      </c>
      <c r="D694" s="9" t="s">
        <v>2419</v>
      </c>
      <c r="E694" s="10" t="str">
        <f>HYPERLINK("https://twitter.com/geografoandaluz/status/1070702442285801472","1070702442285801472")</f>
        <v>1070702442285801472</v>
      </c>
      <c r="F694" s="11"/>
      <c r="G694" s="11"/>
      <c r="H694" s="11"/>
      <c r="I694" s="14">
        <v>0</v>
      </c>
      <c r="J694" s="14">
        <v>0</v>
      </c>
      <c r="K694" s="15" t="str">
        <f t="shared" si="134"/>
        <v>Twitter Web Client</v>
      </c>
      <c r="L694" s="14">
        <v>230</v>
      </c>
      <c r="M694" s="14">
        <v>809</v>
      </c>
      <c r="N694" s="14">
        <v>7</v>
      </c>
      <c r="O694" s="16"/>
      <c r="P694" s="6">
        <v>41372.730706018519</v>
      </c>
      <c r="Q694" s="12" t="s">
        <v>2422</v>
      </c>
      <c r="R694" s="17" t="s">
        <v>2423</v>
      </c>
      <c r="S694" s="13" t="s">
        <v>2424</v>
      </c>
      <c r="T694" s="11"/>
      <c r="U694" s="10" t="str">
        <f>HYPERLINK("https://pbs.twimg.com/profile_images/831483518974836737/yuj8AMaB.jpg","View")</f>
        <v>View</v>
      </c>
    </row>
    <row r="695" spans="1:21" ht="30.6">
      <c r="A695" s="6">
        <v>43440.688344907408</v>
      </c>
      <c r="B695" s="7" t="str">
        <f>HYPERLINK("https://twitter.com/DolcaCatalunya","@DolcaCatalunya")</f>
        <v>@DolcaCatalunya</v>
      </c>
      <c r="C695" s="8" t="s">
        <v>3073</v>
      </c>
      <c r="D695" s="9" t="s">
        <v>3074</v>
      </c>
      <c r="E695" s="10" t="str">
        <f>HYPERLINK("https://twitter.com/DolcaCatalunya/status/1070702205265723395","1070702205265723395")</f>
        <v>1070702205265723395</v>
      </c>
      <c r="F695" s="13" t="s">
        <v>3075</v>
      </c>
      <c r="G695" s="11"/>
      <c r="H695" s="11"/>
      <c r="I695" s="14">
        <v>102</v>
      </c>
      <c r="J695" s="14">
        <v>121</v>
      </c>
      <c r="K695" s="15" t="str">
        <f>HYPERLINK("http://www.facebook.com/twitter","Facebook")</f>
        <v>Facebook</v>
      </c>
      <c r="L695" s="14">
        <v>44194</v>
      </c>
      <c r="M695" s="14">
        <v>52</v>
      </c>
      <c r="N695" s="14">
        <v>314</v>
      </c>
      <c r="O695" s="16"/>
      <c r="P695" s="6">
        <v>41573.798483796294</v>
      </c>
      <c r="Q695" s="11"/>
      <c r="R695" s="17" t="s">
        <v>3076</v>
      </c>
      <c r="S695" s="13" t="s">
        <v>3077</v>
      </c>
      <c r="T695" s="11"/>
      <c r="U695" s="10" t="str">
        <f>HYPERLINK("https://pbs.twimg.com/profile_images/378800000651340958/eb7869dd2a6c175a4b8dc3cd07871aa0.png","View")</f>
        <v>View</v>
      </c>
    </row>
    <row r="696" spans="1:21" ht="30.6">
      <c r="A696" s="6">
        <v>43440.683923611112</v>
      </c>
      <c r="B696" s="7" t="str">
        <f>HYPERLINK("https://twitter.com/ElDeLaMoto3","@ElDeLaMoto3")</f>
        <v>@ElDeLaMoto3</v>
      </c>
      <c r="C696" s="8" t="s">
        <v>2428</v>
      </c>
      <c r="D696" s="9" t="s">
        <v>2429</v>
      </c>
      <c r="E696" s="10" t="str">
        <f>HYPERLINK("https://twitter.com/ElDeLaMoto3/status/1070700606308974593","1070700606308974593")</f>
        <v>1070700606308974593</v>
      </c>
      <c r="F696" s="11"/>
      <c r="G696" s="11"/>
      <c r="H696" s="11"/>
      <c r="I696" s="14">
        <v>0</v>
      </c>
      <c r="J696" s="14">
        <v>0</v>
      </c>
      <c r="K696" s="15" t="str">
        <f>HYPERLINK("http://twitter.com/download/iphone","Twitter for iPhone")</f>
        <v>Twitter for iPhone</v>
      </c>
      <c r="L696" s="14">
        <v>4</v>
      </c>
      <c r="M696" s="14">
        <v>124</v>
      </c>
      <c r="N696" s="14">
        <v>0</v>
      </c>
      <c r="O696" s="16"/>
      <c r="P696" s="6">
        <v>43361.099317129629</v>
      </c>
      <c r="Q696" s="12" t="s">
        <v>2430</v>
      </c>
      <c r="R696" s="17" t="s">
        <v>2431</v>
      </c>
      <c r="S696" s="11"/>
      <c r="T696" s="11"/>
      <c r="U696" s="10" t="str">
        <f>HYPERLINK("https://pbs.twimg.com/profile_images/1041849492952305664/_o7Qd30-.jpg","View")</f>
        <v>View</v>
      </c>
    </row>
    <row r="697" spans="1:21" ht="40.799999999999997">
      <c r="A697" s="6">
        <v>43440.683055555557</v>
      </c>
      <c r="B697" s="7" t="str">
        <f>HYPERLINK("https://twitter.com/belnomejunior","@belnomejunior")</f>
        <v>@belnomejunior</v>
      </c>
      <c r="C697" s="8" t="s">
        <v>2434</v>
      </c>
      <c r="D697" s="9" t="s">
        <v>2435</v>
      </c>
      <c r="E697" s="10" t="str">
        <f>HYPERLINK("https://twitter.com/belnomejunior/status/1070700290444275714","1070700290444275714")</f>
        <v>1070700290444275714</v>
      </c>
      <c r="F697" s="12" t="s">
        <v>2437</v>
      </c>
      <c r="G697" s="11"/>
      <c r="H697" s="11"/>
      <c r="I697" s="14">
        <v>1</v>
      </c>
      <c r="J697" s="14">
        <v>0</v>
      </c>
      <c r="K697" s="15" t="str">
        <f>HYPERLINK("http://twitter.com/download/android","Twitter for Android")</f>
        <v>Twitter for Android</v>
      </c>
      <c r="L697" s="14">
        <v>36</v>
      </c>
      <c r="M697" s="14">
        <v>98</v>
      </c>
      <c r="N697" s="14">
        <v>0</v>
      </c>
      <c r="O697" s="16"/>
      <c r="P697" s="6">
        <v>40818.986145833333</v>
      </c>
      <c r="Q697" s="11"/>
      <c r="R697" s="18"/>
      <c r="S697" s="11"/>
      <c r="T697" s="11"/>
      <c r="U697" s="10" t="str">
        <f>HYPERLINK("https://pbs.twimg.com/profile_images/1071378296057798656/Sk0EvUKK.jpg","View")</f>
        <v>View</v>
      </c>
    </row>
    <row r="698" spans="1:21" ht="61.2">
      <c r="A698" s="6">
        <v>43440.682268518518</v>
      </c>
      <c r="B698" s="7" t="str">
        <f>HYPERLINK("https://twitter.com/PilarGarciaFlo1","@PilarGarciaFlo1")</f>
        <v>@PilarGarciaFlo1</v>
      </c>
      <c r="C698" s="8" t="s">
        <v>2438</v>
      </c>
      <c r="D698" s="9" t="s">
        <v>2439</v>
      </c>
      <c r="E698" s="10" t="str">
        <f>HYPERLINK("https://twitter.com/PilarGarciaFlo1/status/1070700004971593728","1070700004971593728")</f>
        <v>1070700004971593728</v>
      </c>
      <c r="F698" s="11"/>
      <c r="G698" s="13" t="s">
        <v>2440</v>
      </c>
      <c r="H698" s="11"/>
      <c r="I698" s="14">
        <v>0</v>
      </c>
      <c r="J698" s="14">
        <v>0</v>
      </c>
      <c r="K698" s="15" t="str">
        <f>HYPERLINK("http://twitter.com/download/iphone","Twitter for iPhone")</f>
        <v>Twitter for iPhone</v>
      </c>
      <c r="L698" s="14">
        <v>614</v>
      </c>
      <c r="M698" s="14">
        <v>1212</v>
      </c>
      <c r="N698" s="14">
        <v>16</v>
      </c>
      <c r="O698" s="16"/>
      <c r="P698" s="6">
        <v>42177.954282407409</v>
      </c>
      <c r="Q698" s="12" t="s">
        <v>2444</v>
      </c>
      <c r="R698" s="17" t="s">
        <v>2445</v>
      </c>
      <c r="S698" s="11"/>
      <c r="T698" s="11"/>
      <c r="U698" s="10" t="str">
        <f>HYPERLINK("https://pbs.twimg.com/profile_images/972954476154847238/reJ63J8g.jpg","View")</f>
        <v>View</v>
      </c>
    </row>
    <row r="699" spans="1:21" ht="20.399999999999999">
      <c r="A699" s="6">
        <v>43440.68069444444</v>
      </c>
      <c r="B699" s="7" t="str">
        <f>HYPERLINK("https://twitter.com/_infoLibre","@_infoLibre")</f>
        <v>@_infoLibre</v>
      </c>
      <c r="C699" s="8" t="s">
        <v>3086</v>
      </c>
      <c r="D699" s="9" t="s">
        <v>3087</v>
      </c>
      <c r="E699" s="10" t="str">
        <f>HYPERLINK("https://twitter.com/_infoLibre/status/1070699435255050240","1070699435255050240")</f>
        <v>1070699435255050240</v>
      </c>
      <c r="F699" s="13" t="s">
        <v>3088</v>
      </c>
      <c r="G699" s="13" t="s">
        <v>3089</v>
      </c>
      <c r="H699" s="11"/>
      <c r="I699" s="14">
        <v>3</v>
      </c>
      <c r="J699" s="14">
        <v>4</v>
      </c>
      <c r="K699" s="15" t="str">
        <f>HYPERLINK("https://www.hootsuite.com","Hootsuite Inc.")</f>
        <v>Hootsuite Inc.</v>
      </c>
      <c r="L699" s="14">
        <v>249790</v>
      </c>
      <c r="M699" s="14">
        <v>727</v>
      </c>
      <c r="N699" s="14">
        <v>4485</v>
      </c>
      <c r="O699" s="19" t="s">
        <v>42</v>
      </c>
      <c r="P699" s="6">
        <v>41069.919710648144</v>
      </c>
      <c r="Q699" s="12" t="s">
        <v>29</v>
      </c>
      <c r="R699" s="17" t="s">
        <v>3090</v>
      </c>
      <c r="S699" s="13" t="s">
        <v>3091</v>
      </c>
      <c r="T699" s="11"/>
      <c r="U699" s="10" t="str">
        <f>HYPERLINK("https://pbs.twimg.com/profile_images/972036821000605696/wPuPU0Mx.jpg","View")</f>
        <v>View</v>
      </c>
    </row>
    <row r="700" spans="1:21" ht="30.6">
      <c r="A700" s="6">
        <v>43440.680196759262</v>
      </c>
      <c r="B700" s="7" t="str">
        <f>HYPERLINK("https://twitter.com/_GaRRi_","@_GaRRi_")</f>
        <v>@_GaRRi_</v>
      </c>
      <c r="C700" s="8" t="s">
        <v>2450</v>
      </c>
      <c r="D700" s="9" t="s">
        <v>2451</v>
      </c>
      <c r="E700" s="10" t="str">
        <f>HYPERLINK("https://twitter.com/_GaRRi_/status/1070699253155139584","1070699253155139584")</f>
        <v>1070699253155139584</v>
      </c>
      <c r="F700" s="12" t="s">
        <v>2452</v>
      </c>
      <c r="G700" s="13" t="s">
        <v>2453</v>
      </c>
      <c r="H700" s="11"/>
      <c r="I700" s="14">
        <v>0</v>
      </c>
      <c r="J700" s="14">
        <v>0</v>
      </c>
      <c r="K700" s="15" t="str">
        <f>HYPERLINK("http://twitter.com/download/android","Twitter for Android")</f>
        <v>Twitter for Android</v>
      </c>
      <c r="L700" s="14">
        <v>103</v>
      </c>
      <c r="M700" s="14">
        <v>123</v>
      </c>
      <c r="N700" s="14">
        <v>2</v>
      </c>
      <c r="O700" s="16"/>
      <c r="P700" s="6">
        <v>40681.009837962964</v>
      </c>
      <c r="Q700" s="11"/>
      <c r="R700" s="18"/>
      <c r="S700" s="11"/>
      <c r="T700" s="11"/>
      <c r="U700" s="10" t="str">
        <f>HYPERLINK("https://pbs.twimg.com/profile_images/3455779030/408f2460ab079b1f53196b3fb517fc30.jpeg","View")</f>
        <v>View</v>
      </c>
    </row>
    <row r="701" spans="1:21" ht="71.400000000000006">
      <c r="A701" s="6">
        <v>43440.679444444446</v>
      </c>
      <c r="B701" s="7" t="str">
        <f>HYPERLINK("https://twitter.com/FuentesTete","@FuentesTete")</f>
        <v>@FuentesTete</v>
      </c>
      <c r="C701" s="8" t="s">
        <v>2456</v>
      </c>
      <c r="D701" s="9" t="s">
        <v>2457</v>
      </c>
      <c r="E701" s="10" t="str">
        <f>HYPERLINK("https://twitter.com/FuentesTete/status/1070698981322383360","1070698981322383360")</f>
        <v>1070698981322383360</v>
      </c>
      <c r="F701" s="12" t="s">
        <v>2460</v>
      </c>
      <c r="G701" s="11"/>
      <c r="H701" s="11"/>
      <c r="I701" s="14">
        <v>0</v>
      </c>
      <c r="J701" s="14">
        <v>1</v>
      </c>
      <c r="K701" s="15" t="str">
        <f t="shared" ref="K701:K702" si="135">HYPERLINK("http://twitter.com","Twitter Web Client")</f>
        <v>Twitter Web Client</v>
      </c>
      <c r="L701" s="14">
        <v>509</v>
      </c>
      <c r="M701" s="14">
        <v>778</v>
      </c>
      <c r="N701" s="14">
        <v>6</v>
      </c>
      <c r="O701" s="16"/>
      <c r="P701" s="6">
        <v>41133.999247685184</v>
      </c>
      <c r="Q701" s="12" t="s">
        <v>2461</v>
      </c>
      <c r="R701" s="17" t="s">
        <v>2462</v>
      </c>
      <c r="S701" s="11"/>
      <c r="T701" s="11"/>
      <c r="U701" s="10" t="str">
        <f>HYPERLINK("https://pbs.twimg.com/profile_images/811328190979440640/iAgQO-__.jpg","View")</f>
        <v>View</v>
      </c>
    </row>
    <row r="702" spans="1:21" ht="40.799999999999997">
      <c r="A702" s="6">
        <v>43440.67287037037</v>
      </c>
      <c r="B702" s="7" t="str">
        <f>HYPERLINK("https://twitter.com/caval100","@caval100")</f>
        <v>@caval100</v>
      </c>
      <c r="C702" s="8" t="s">
        <v>1386</v>
      </c>
      <c r="D702" s="9" t="s">
        <v>3101</v>
      </c>
      <c r="E702" s="10" t="str">
        <f>HYPERLINK("https://twitter.com/caval100/status/1070696598294937604","1070696598294937604")</f>
        <v>1070696598294937604</v>
      </c>
      <c r="F702" s="13" t="s">
        <v>3103</v>
      </c>
      <c r="G702" s="11"/>
      <c r="H702" s="11"/>
      <c r="I702" s="14">
        <v>1</v>
      </c>
      <c r="J702" s="14">
        <v>2</v>
      </c>
      <c r="K702" s="15" t="str">
        <f t="shared" si="135"/>
        <v>Twitter Web Client</v>
      </c>
      <c r="L702" s="14">
        <v>119343</v>
      </c>
      <c r="M702" s="14">
        <v>94000</v>
      </c>
      <c r="N702" s="14">
        <v>982</v>
      </c>
      <c r="O702" s="16"/>
      <c r="P702" s="6">
        <v>40079.437094907407</v>
      </c>
      <c r="Q702" s="12" t="s">
        <v>1392</v>
      </c>
      <c r="R702" s="17" t="s">
        <v>1393</v>
      </c>
      <c r="S702" s="13" t="s">
        <v>1394</v>
      </c>
      <c r="T702" s="11"/>
      <c r="U702" s="10" t="str">
        <f>HYPERLINK("https://pbs.twimg.com/profile_images/965350678301429760/uvGI7g8U.jpg","View")</f>
        <v>View</v>
      </c>
    </row>
    <row r="703" spans="1:21" ht="30.6">
      <c r="A703" s="6">
        <v>43440.66805555555</v>
      </c>
      <c r="B703" s="7" t="str">
        <f>HYPERLINK("https://twitter.com/rne","@rne")</f>
        <v>@rne</v>
      </c>
      <c r="C703" s="8" t="s">
        <v>2463</v>
      </c>
      <c r="D703" s="9" t="s">
        <v>2464</v>
      </c>
      <c r="E703" s="10" t="str">
        <f>HYPERLINK("https://twitter.com/rne/status/1070694854240329731","1070694854240329731")</f>
        <v>1070694854240329731</v>
      </c>
      <c r="F703" s="13" t="s">
        <v>2467</v>
      </c>
      <c r="G703" s="13" t="s">
        <v>2468</v>
      </c>
      <c r="H703" s="11"/>
      <c r="I703" s="14">
        <v>4</v>
      </c>
      <c r="J703" s="14">
        <v>5</v>
      </c>
      <c r="K703" s="15" t="str">
        <f>HYPERLINK("https://about.twitter.com/products/tweetdeck","TweetDeck")</f>
        <v>TweetDeck</v>
      </c>
      <c r="L703" s="14">
        <v>328100</v>
      </c>
      <c r="M703" s="14">
        <v>134</v>
      </c>
      <c r="N703" s="14">
        <v>2940</v>
      </c>
      <c r="O703" s="19" t="s">
        <v>42</v>
      </c>
      <c r="P703" s="6">
        <v>39912.621435185181</v>
      </c>
      <c r="Q703" s="12" t="s">
        <v>508</v>
      </c>
      <c r="R703" s="17" t="s">
        <v>2473</v>
      </c>
      <c r="S703" s="13" t="s">
        <v>2474</v>
      </c>
      <c r="T703" s="11"/>
      <c r="U703" s="10" t="str">
        <f>HYPERLINK("https://pbs.twimg.com/profile_images/899385588868145152/0Qw3Juxf.jpg","View")</f>
        <v>View</v>
      </c>
    </row>
    <row r="704" spans="1:21" ht="40.799999999999997">
      <c r="A704" s="6">
        <v>43440.66805555555</v>
      </c>
      <c r="B704" s="7" t="str">
        <f t="shared" ref="B704:B705" si="136">HYPERLINK("https://twitter.com/bitMomentum","@bitMomentum")</f>
        <v>@bitMomentum</v>
      </c>
      <c r="C704" s="8" t="s">
        <v>1889</v>
      </c>
      <c r="D704" s="9" t="s">
        <v>2477</v>
      </c>
      <c r="E704" s="10" t="str">
        <f>HYPERLINK("https://twitter.com/bitMomentum/status/1070694853095448576","1070694853095448576")</f>
        <v>1070694853095448576</v>
      </c>
      <c r="F704" s="11"/>
      <c r="G704" s="11"/>
      <c r="H704" s="11"/>
      <c r="I704" s="14">
        <v>0</v>
      </c>
      <c r="J704" s="14">
        <v>1</v>
      </c>
      <c r="K704" s="15" t="str">
        <f t="shared" ref="K704:K705" si="137">HYPERLINK("http://www.bitmomentum.com","bitMomentum Bot")</f>
        <v>bitMomentum Bot</v>
      </c>
      <c r="L704" s="14">
        <v>10254</v>
      </c>
      <c r="M704" s="14">
        <v>1059</v>
      </c>
      <c r="N704" s="14">
        <v>263</v>
      </c>
      <c r="O704" s="16"/>
      <c r="P704" s="6">
        <v>41608.667511574073</v>
      </c>
      <c r="Q704" s="11"/>
      <c r="R704" s="17" t="s">
        <v>1897</v>
      </c>
      <c r="S704" s="13" t="s">
        <v>1898</v>
      </c>
      <c r="T704" s="11"/>
      <c r="U704" s="10" t="str">
        <f t="shared" ref="U704:U705" si="138">HYPERLINK("https://pbs.twimg.com/profile_images/378800000862185241/20ij2H3u.png","View")</f>
        <v>View</v>
      </c>
    </row>
    <row r="705" spans="1:21" ht="40.799999999999997">
      <c r="A705" s="6">
        <v>43440.667361111111</v>
      </c>
      <c r="B705" s="7" t="str">
        <f t="shared" si="136"/>
        <v>@bitMomentum</v>
      </c>
      <c r="C705" s="8" t="s">
        <v>1889</v>
      </c>
      <c r="D705" s="9" t="s">
        <v>2484</v>
      </c>
      <c r="E705" s="10" t="str">
        <f>HYPERLINK("https://twitter.com/bitMomentum/status/1070694601332350976","1070694601332350976")</f>
        <v>1070694601332350976</v>
      </c>
      <c r="F705" s="11"/>
      <c r="G705" s="11"/>
      <c r="H705" s="11"/>
      <c r="I705" s="14">
        <v>16</v>
      </c>
      <c r="J705" s="14">
        <v>14</v>
      </c>
      <c r="K705" s="15" t="str">
        <f t="shared" si="137"/>
        <v>bitMomentum Bot</v>
      </c>
      <c r="L705" s="14">
        <v>10254</v>
      </c>
      <c r="M705" s="14">
        <v>1059</v>
      </c>
      <c r="N705" s="14">
        <v>263</v>
      </c>
      <c r="O705" s="16"/>
      <c r="P705" s="6">
        <v>41608.667511574073</v>
      </c>
      <c r="Q705" s="11"/>
      <c r="R705" s="17" t="s">
        <v>1897</v>
      </c>
      <c r="S705" s="13" t="s">
        <v>1898</v>
      </c>
      <c r="T705" s="11"/>
      <c r="U705" s="10" t="str">
        <f t="shared" si="138"/>
        <v>View</v>
      </c>
    </row>
    <row r="706" spans="1:21" ht="30.6">
      <c r="A706" s="6">
        <v>43440.666666666672</v>
      </c>
      <c r="B706" s="7" t="str">
        <f>HYPERLINK("https://twitter.com/laSextaTV","@laSextaTV")</f>
        <v>@laSextaTV</v>
      </c>
      <c r="C706" s="8" t="s">
        <v>3110</v>
      </c>
      <c r="D706" s="9" t="s">
        <v>3112</v>
      </c>
      <c r="E706" s="10" t="str">
        <f>HYPERLINK("https://twitter.com/laSextaTV/status/1070694351225917440","1070694351225917440")</f>
        <v>1070694351225917440</v>
      </c>
      <c r="F706" s="13" t="s">
        <v>3114</v>
      </c>
      <c r="G706" s="11"/>
      <c r="H706" s="11"/>
      <c r="I706" s="14">
        <v>2</v>
      </c>
      <c r="J706" s="14">
        <v>6</v>
      </c>
      <c r="K706" s="15" t="str">
        <f>HYPERLINK("http://dogtrack.es","DogTrack_Oficial")</f>
        <v>DogTrack_Oficial</v>
      </c>
      <c r="L706" s="14">
        <v>915221</v>
      </c>
      <c r="M706" s="14">
        <v>307</v>
      </c>
      <c r="N706" s="14">
        <v>5857</v>
      </c>
      <c r="O706" s="19" t="s">
        <v>42</v>
      </c>
      <c r="P706" s="6">
        <v>39877.804710648146</v>
      </c>
      <c r="Q706" s="12" t="s">
        <v>181</v>
      </c>
      <c r="R706" s="17" t="s">
        <v>3116</v>
      </c>
      <c r="S706" s="13" t="s">
        <v>3117</v>
      </c>
      <c r="T706" s="11"/>
      <c r="U706" s="10" t="str">
        <f>HYPERLINK("https://pbs.twimg.com/profile_images/898966361426231296/0sS0RzFh.jpg","View")</f>
        <v>View</v>
      </c>
    </row>
    <row r="707" spans="1:21" ht="20.399999999999999">
      <c r="A707" s="6">
        <v>43440.663993055554</v>
      </c>
      <c r="B707" s="7" t="str">
        <f>HYPERLINK("https://twitter.com/xZutano","@xZutano")</f>
        <v>@xZutano</v>
      </c>
      <c r="C707" s="8" t="s">
        <v>3120</v>
      </c>
      <c r="D707" s="9" t="s">
        <v>3121</v>
      </c>
      <c r="E707" s="10" t="str">
        <f>HYPERLINK("https://twitter.com/xZutano/status/1070693382454984705","1070693382454984705")</f>
        <v>1070693382454984705</v>
      </c>
      <c r="F707" s="11"/>
      <c r="G707" s="11"/>
      <c r="H707" s="11"/>
      <c r="I707" s="14">
        <v>0</v>
      </c>
      <c r="J707" s="14">
        <v>0</v>
      </c>
      <c r="K707" s="15" t="str">
        <f t="shared" ref="K707:K709" si="139">HYPERLINK("http://twitter.com/download/android","Twitter for Android")</f>
        <v>Twitter for Android</v>
      </c>
      <c r="L707" s="14">
        <v>68</v>
      </c>
      <c r="M707" s="14">
        <v>37</v>
      </c>
      <c r="N707" s="14">
        <v>1</v>
      </c>
      <c r="O707" s="16"/>
      <c r="P707" s="6">
        <v>43286.037800925929</v>
      </c>
      <c r="Q707" s="11"/>
      <c r="R707" s="18"/>
      <c r="S707" s="11"/>
      <c r="T707" s="11"/>
      <c r="U707" s="10" t="str">
        <f>HYPERLINK("https://pbs.twimg.com/profile_images/1067024450128879616/a4hX4VfI.jpg","View")</f>
        <v>View</v>
      </c>
    </row>
    <row r="708" spans="1:21" ht="30.6">
      <c r="A708" s="6">
        <v>43440.660532407404</v>
      </c>
      <c r="B708" s="7" t="str">
        <f>HYPERLINK("https://twitter.com/Miguelito82Ejea","@Miguelito82Ejea")</f>
        <v>@Miguelito82Ejea</v>
      </c>
      <c r="C708" s="8" t="s">
        <v>3125</v>
      </c>
      <c r="D708" s="9" t="s">
        <v>3127</v>
      </c>
      <c r="E708" s="10" t="str">
        <f>HYPERLINK("https://twitter.com/Miguelito82Ejea/status/1070692127640829952","1070692127640829952")</f>
        <v>1070692127640829952</v>
      </c>
      <c r="F708" s="11"/>
      <c r="G708" s="11"/>
      <c r="H708" s="11"/>
      <c r="I708" s="14">
        <v>1</v>
      </c>
      <c r="J708" s="14">
        <v>0</v>
      </c>
      <c r="K708" s="15" t="str">
        <f t="shared" si="139"/>
        <v>Twitter for Android</v>
      </c>
      <c r="L708" s="14">
        <v>460</v>
      </c>
      <c r="M708" s="14">
        <v>740</v>
      </c>
      <c r="N708" s="14">
        <v>10</v>
      </c>
      <c r="O708" s="16"/>
      <c r="P708" s="6">
        <v>42506.544363425928</v>
      </c>
      <c r="Q708" s="12" t="s">
        <v>3129</v>
      </c>
      <c r="R708" s="17" t="s">
        <v>3130</v>
      </c>
      <c r="S708" s="11"/>
      <c r="T708" s="11"/>
      <c r="U708" s="10" t="str">
        <f>HYPERLINK("https://pbs.twimg.com/profile_images/971526201427800064/uTbNnm_5.jpg","View")</f>
        <v>View</v>
      </c>
    </row>
    <row r="709" spans="1:21" ht="30.6">
      <c r="A709" s="6">
        <v>43440.656678240739</v>
      </c>
      <c r="B709" s="7" t="str">
        <f>HYPERLINK("https://twitter.com/UntepojuEdad","@UntepojuEdad")</f>
        <v>@UntepojuEdad</v>
      </c>
      <c r="C709" s="8" t="s">
        <v>2485</v>
      </c>
      <c r="D709" s="9" t="s">
        <v>2486</v>
      </c>
      <c r="E709" s="10" t="str">
        <f>HYPERLINK("https://twitter.com/UntepojuEdad/status/1070690730325237761","1070690730325237761")</f>
        <v>1070690730325237761</v>
      </c>
      <c r="F709" s="11"/>
      <c r="G709" s="13" t="s">
        <v>2487</v>
      </c>
      <c r="H709" s="11"/>
      <c r="I709" s="14">
        <v>0</v>
      </c>
      <c r="J709" s="14">
        <v>0</v>
      </c>
      <c r="K709" s="15" t="str">
        <f t="shared" si="139"/>
        <v>Twitter for Android</v>
      </c>
      <c r="L709" s="14">
        <v>14</v>
      </c>
      <c r="M709" s="14">
        <v>101</v>
      </c>
      <c r="N709" s="14">
        <v>0</v>
      </c>
      <c r="O709" s="16"/>
      <c r="P709" s="6">
        <v>41793.970312500001</v>
      </c>
      <c r="Q709" s="11"/>
      <c r="R709" s="17" t="s">
        <v>2488</v>
      </c>
      <c r="S709" s="11"/>
      <c r="T709" s="11"/>
      <c r="U709" s="10" t="str">
        <f>HYPERLINK("https://pbs.twimg.com/profile_images/1040861704991789057/xe0IKTny.jpg","View")</f>
        <v>View</v>
      </c>
    </row>
    <row r="710" spans="1:21" ht="51">
      <c r="A710" s="6">
        <v>43440.655231481476</v>
      </c>
      <c r="B710" s="7" t="str">
        <f>HYPERLINK("https://twitter.com/europapress","@europapress")</f>
        <v>@europapress</v>
      </c>
      <c r="C710" s="8" t="s">
        <v>3135</v>
      </c>
      <c r="D710" s="9" t="s">
        <v>1915</v>
      </c>
      <c r="E710" s="10" t="str">
        <f>HYPERLINK("https://twitter.com/europapress/status/1070690206540578816","1070690206540578816")</f>
        <v>1070690206540578816</v>
      </c>
      <c r="F710" s="13" t="s">
        <v>3138</v>
      </c>
      <c r="G710" s="13" t="s">
        <v>3139</v>
      </c>
      <c r="H710" s="11"/>
      <c r="I710" s="14">
        <v>11</v>
      </c>
      <c r="J710" s="14">
        <v>25</v>
      </c>
      <c r="K710" s="15" t="str">
        <f>HYPERLINK("https://studio.twitter.com","Twitter Media Studio")</f>
        <v>Twitter Media Studio</v>
      </c>
      <c r="L710" s="14">
        <v>1100735</v>
      </c>
      <c r="M710" s="14">
        <v>1101</v>
      </c>
      <c r="N710" s="14">
        <v>13750</v>
      </c>
      <c r="O710" s="19" t="s">
        <v>42</v>
      </c>
      <c r="P710" s="6">
        <v>40246.461956018517</v>
      </c>
      <c r="Q710" s="11"/>
      <c r="R710" s="17" t="s">
        <v>3141</v>
      </c>
      <c r="S710" s="13" t="s">
        <v>3142</v>
      </c>
      <c r="T710" s="11"/>
      <c r="U710" s="10" t="str">
        <f>HYPERLINK("https://pbs.twimg.com/profile_images/876740155473788928/4V7ewUTC.jpg","View")</f>
        <v>View</v>
      </c>
    </row>
    <row r="711" spans="1:21" ht="51">
      <c r="A711" s="6">
        <v>43440.652592592596</v>
      </c>
      <c r="B711" s="7" t="str">
        <f>HYPERLINK("https://twitter.com/Albert_Rivera","@Albert_Rivera")</f>
        <v>@Albert_Rivera</v>
      </c>
      <c r="C711" s="8" t="s">
        <v>443</v>
      </c>
      <c r="D711" s="9" t="s">
        <v>3146</v>
      </c>
      <c r="E711" s="10" t="str">
        <f>HYPERLINK("https://twitter.com/Albert_Rivera/status/1070689250792955905","1070689250792955905")</f>
        <v>1070689250792955905</v>
      </c>
      <c r="F711" s="11"/>
      <c r="G711" s="13" t="s">
        <v>436</v>
      </c>
      <c r="H711" s="11"/>
      <c r="I711" s="14">
        <v>480</v>
      </c>
      <c r="J711" s="14">
        <v>1245</v>
      </c>
      <c r="K711" s="15" t="str">
        <f>HYPERLINK("http://twitter.com/download/iphone","Twitter for iPhone")</f>
        <v>Twitter for iPhone</v>
      </c>
      <c r="L711" s="14">
        <v>1075808</v>
      </c>
      <c r="M711" s="14">
        <v>2547</v>
      </c>
      <c r="N711" s="14">
        <v>5114</v>
      </c>
      <c r="O711" s="19" t="s">
        <v>42</v>
      </c>
      <c r="P711" s="6">
        <v>40205.748171296298</v>
      </c>
      <c r="Q711" s="12" t="s">
        <v>137</v>
      </c>
      <c r="R711" s="17" t="s">
        <v>450</v>
      </c>
      <c r="S711" s="13" t="s">
        <v>452</v>
      </c>
      <c r="T711" s="11"/>
      <c r="U711" s="10" t="str">
        <f>HYPERLINK("https://pbs.twimg.com/profile_images/1030708936779988993/RncDM4EZ.jpg","View")</f>
        <v>View</v>
      </c>
    </row>
    <row r="712" spans="1:21" ht="30.6">
      <c r="A712" s="6">
        <v>43440.652314814812</v>
      </c>
      <c r="B712" s="7" t="str">
        <f>HYPERLINK("https://twitter.com/adri17hamsik","@adri17hamsik")</f>
        <v>@adri17hamsik</v>
      </c>
      <c r="C712" s="8" t="s">
        <v>3149</v>
      </c>
      <c r="D712" s="9" t="s">
        <v>3150</v>
      </c>
      <c r="E712" s="10" t="str">
        <f>HYPERLINK("https://twitter.com/adri17hamsik/status/1070689149919916032","1070689149919916032")</f>
        <v>1070689149919916032</v>
      </c>
      <c r="F712" s="11"/>
      <c r="G712" s="11"/>
      <c r="H712" s="11"/>
      <c r="I712" s="14">
        <v>0</v>
      </c>
      <c r="J712" s="14">
        <v>1</v>
      </c>
      <c r="K712" s="15" t="str">
        <f t="shared" ref="K712:K713" si="140">HYPERLINK("http://twitter.com","Twitter Web Client")</f>
        <v>Twitter Web Client</v>
      </c>
      <c r="L712" s="14">
        <v>592</v>
      </c>
      <c r="M712" s="14">
        <v>1164</v>
      </c>
      <c r="N712" s="14">
        <v>15</v>
      </c>
      <c r="O712" s="16"/>
      <c r="P712" s="6">
        <v>40727.664201388892</v>
      </c>
      <c r="Q712" s="12" t="s">
        <v>508</v>
      </c>
      <c r="R712" s="17" t="s">
        <v>3151</v>
      </c>
      <c r="S712" s="11"/>
      <c r="T712" s="11"/>
      <c r="U712" s="10" t="str">
        <f>HYPERLINK("https://pbs.twimg.com/profile_images/1063600198805536768/u83FkAN4.jpg","View")</f>
        <v>View</v>
      </c>
    </row>
    <row r="713" spans="1:21" ht="51">
      <c r="A713" s="6">
        <v>43440.651238425926</v>
      </c>
      <c r="B713" s="7" t="str">
        <f>HYPERLINK("https://twitter.com/jesusblase","@jesusblase")</f>
        <v>@jesusblase</v>
      </c>
      <c r="C713" s="8" t="s">
        <v>2489</v>
      </c>
      <c r="D713" s="9" t="s">
        <v>2490</v>
      </c>
      <c r="E713" s="10" t="str">
        <f>HYPERLINK("https://twitter.com/jesusblase/status/1070688761950978048","1070688761950978048")</f>
        <v>1070688761950978048</v>
      </c>
      <c r="F713" s="11"/>
      <c r="G713" s="13" t="s">
        <v>2492</v>
      </c>
      <c r="H713" s="11"/>
      <c r="I713" s="14">
        <v>0</v>
      </c>
      <c r="J713" s="14">
        <v>1</v>
      </c>
      <c r="K713" s="15" t="str">
        <f t="shared" si="140"/>
        <v>Twitter Web Client</v>
      </c>
      <c r="L713" s="14">
        <v>227</v>
      </c>
      <c r="M713" s="14">
        <v>680</v>
      </c>
      <c r="N713" s="14">
        <v>3</v>
      </c>
      <c r="O713" s="16"/>
      <c r="P713" s="6">
        <v>41209.931770833333</v>
      </c>
      <c r="Q713" s="12" t="s">
        <v>2495</v>
      </c>
      <c r="R713" s="17" t="s">
        <v>2496</v>
      </c>
      <c r="S713" s="11"/>
      <c r="T713" s="11"/>
      <c r="U713" s="10" t="str">
        <f>HYPERLINK("https://pbs.twimg.com/profile_images/935968491055796225/j8Gd9Pr3.jpg","View")</f>
        <v>View</v>
      </c>
    </row>
    <row r="714" spans="1:21" ht="20.399999999999999">
      <c r="A714" s="6">
        <v>43440.651145833333</v>
      </c>
      <c r="B714" s="7" t="str">
        <f>HYPERLINK("https://twitter.com/negativo_stats","@negativo_stats")</f>
        <v>@negativo_stats</v>
      </c>
      <c r="C714" s="8" t="s">
        <v>171</v>
      </c>
      <c r="D714" s="9" t="s">
        <v>172</v>
      </c>
      <c r="E714" s="10" t="str">
        <f>HYPERLINK("https://twitter.com/negativo_stats/status/1070688725531811841","1070688725531811841")</f>
        <v>1070688725531811841</v>
      </c>
      <c r="F714" s="11"/>
      <c r="G714" s="13" t="s">
        <v>2497</v>
      </c>
      <c r="H714" s="11"/>
      <c r="I714" s="14">
        <v>0</v>
      </c>
      <c r="J714" s="14">
        <v>0</v>
      </c>
      <c r="K714" s="15" t="str">
        <f>HYPERLINK("http://kosmonautica.es","Política Negativa")</f>
        <v>Política Negativa</v>
      </c>
      <c r="L714" s="14">
        <v>268</v>
      </c>
      <c r="M714" s="14">
        <v>788</v>
      </c>
      <c r="N714" s="14">
        <v>2</v>
      </c>
      <c r="O714" s="16"/>
      <c r="P714" s="6">
        <v>42171.770601851851</v>
      </c>
      <c r="Q714" s="12" t="s">
        <v>60</v>
      </c>
      <c r="R714" s="17" t="s">
        <v>174</v>
      </c>
      <c r="S714" s="11"/>
      <c r="T714" s="11"/>
      <c r="U714" s="10" t="str">
        <f>HYPERLINK("https://pbs.twimg.com/profile_images/628553625984438272/e-VHyhP1.png","View")</f>
        <v>View</v>
      </c>
    </row>
    <row r="715" spans="1:21" ht="30.6">
      <c r="A715" s="6">
        <v>43440.651053240741</v>
      </c>
      <c r="B715" s="7" t="str">
        <f>HYPERLINK("https://twitter.com/UntepojuEdad","@UntepojuEdad")</f>
        <v>@UntepojuEdad</v>
      </c>
      <c r="C715" s="8" t="s">
        <v>2485</v>
      </c>
      <c r="D715" s="9" t="s">
        <v>2498</v>
      </c>
      <c r="E715" s="10" t="str">
        <f>HYPERLINK("https://twitter.com/UntepojuEdad/status/1070688691067203584","1070688691067203584")</f>
        <v>1070688691067203584</v>
      </c>
      <c r="F715" s="11"/>
      <c r="G715" s="13" t="s">
        <v>2499</v>
      </c>
      <c r="H715" s="11"/>
      <c r="I715" s="14">
        <v>0</v>
      </c>
      <c r="J715" s="14">
        <v>0</v>
      </c>
      <c r="K715" s="15" t="str">
        <f t="shared" ref="K715:K716" si="141">HYPERLINK("http://twitter.com/download/android","Twitter for Android")</f>
        <v>Twitter for Android</v>
      </c>
      <c r="L715" s="14">
        <v>14</v>
      </c>
      <c r="M715" s="14">
        <v>101</v>
      </c>
      <c r="N715" s="14">
        <v>0</v>
      </c>
      <c r="O715" s="16"/>
      <c r="P715" s="6">
        <v>41793.970312500001</v>
      </c>
      <c r="Q715" s="11"/>
      <c r="R715" s="17" t="s">
        <v>2488</v>
      </c>
      <c r="S715" s="11"/>
      <c r="T715" s="11"/>
      <c r="U715" s="10" t="str">
        <f>HYPERLINK("https://pbs.twimg.com/profile_images/1040861704991789057/xe0IKTny.jpg","View")</f>
        <v>View</v>
      </c>
    </row>
    <row r="716" spans="1:21" ht="40.799999999999997">
      <c r="A716" s="6">
        <v>43440.650081018517</v>
      </c>
      <c r="B716" s="7" t="str">
        <f>HYPERLINK("https://twitter.com/jsanvc","@jsanvc")</f>
        <v>@jsanvc</v>
      </c>
      <c r="C716" s="8" t="s">
        <v>1287</v>
      </c>
      <c r="D716" s="9" t="s">
        <v>3160</v>
      </c>
      <c r="E716" s="10" t="str">
        <f>HYPERLINK("https://twitter.com/jsanvc/status/1070688339521626113","1070688339521626113")</f>
        <v>1070688339521626113</v>
      </c>
      <c r="F716" s="13" t="s">
        <v>3162</v>
      </c>
      <c r="G716" s="11"/>
      <c r="H716" s="11"/>
      <c r="I716" s="14">
        <v>0</v>
      </c>
      <c r="J716" s="14">
        <v>0</v>
      </c>
      <c r="K716" s="15" t="str">
        <f t="shared" si="141"/>
        <v>Twitter for Android</v>
      </c>
      <c r="L716" s="14">
        <v>1362</v>
      </c>
      <c r="M716" s="14">
        <v>948</v>
      </c>
      <c r="N716" s="14">
        <v>40</v>
      </c>
      <c r="O716" s="16"/>
      <c r="P716" s="6">
        <v>41641.963402777779</v>
      </c>
      <c r="Q716" s="12" t="s">
        <v>137</v>
      </c>
      <c r="R716" s="17" t="s">
        <v>3163</v>
      </c>
      <c r="S716" s="11"/>
      <c r="T716" s="11"/>
      <c r="U716" s="10" t="str">
        <f>HYPERLINK("https://pbs.twimg.com/profile_images/485145466217459713/L28dpzxb.jpeg","View")</f>
        <v>View</v>
      </c>
    </row>
    <row r="717" spans="1:21" ht="40.799999999999997">
      <c r="A717" s="6">
        <v>43440.64912037037</v>
      </c>
      <c r="B717" s="7" t="str">
        <f>HYPERLINK("https://twitter.com/Sanfermin00","@Sanfermin00")</f>
        <v>@Sanfermin00</v>
      </c>
      <c r="C717" s="8" t="s">
        <v>2763</v>
      </c>
      <c r="D717" s="9" t="s">
        <v>1972</v>
      </c>
      <c r="E717" s="10" t="str">
        <f>HYPERLINK("https://twitter.com/Sanfermin00/status/1070687993189597184","1070687993189597184")</f>
        <v>1070687993189597184</v>
      </c>
      <c r="F717" s="13" t="s">
        <v>1973</v>
      </c>
      <c r="G717" s="11"/>
      <c r="H717" s="11"/>
      <c r="I717" s="14">
        <v>0</v>
      </c>
      <c r="J717" s="14">
        <v>0</v>
      </c>
      <c r="K717" s="15" t="str">
        <f>HYPERLINK("http://twitter.com","Twitter Web Client")</f>
        <v>Twitter Web Client</v>
      </c>
      <c r="L717" s="14">
        <v>16528</v>
      </c>
      <c r="M717" s="14">
        <v>13714</v>
      </c>
      <c r="N717" s="14">
        <v>122</v>
      </c>
      <c r="O717" s="16"/>
      <c r="P717" s="6">
        <v>42362.637083333335</v>
      </c>
      <c r="Q717" s="12" t="s">
        <v>2767</v>
      </c>
      <c r="R717" s="17" t="s">
        <v>2768</v>
      </c>
      <c r="S717" s="13" t="s">
        <v>2769</v>
      </c>
      <c r="T717" s="11"/>
      <c r="U717" s="10" t="str">
        <f>HYPERLINK("https://pbs.twimg.com/profile_images/1064102923624480768/j11dV2-u.jpg","View")</f>
        <v>View</v>
      </c>
    </row>
    <row r="718" spans="1:21" ht="40.799999999999997">
      <c r="A718" s="6">
        <v>43440.645937499998</v>
      </c>
      <c r="B718" s="7" t="str">
        <f>HYPERLINK("https://twitter.com/mariaquilezv","@mariaquilezv")</f>
        <v>@mariaquilezv</v>
      </c>
      <c r="C718" s="8" t="s">
        <v>3170</v>
      </c>
      <c r="D718" s="9" t="s">
        <v>3171</v>
      </c>
      <c r="E718" s="10" t="str">
        <f>HYPERLINK("https://twitter.com/mariaquilezv/status/1070686839500091392","1070686839500091392")</f>
        <v>1070686839500091392</v>
      </c>
      <c r="F718" s="13" t="s">
        <v>1316</v>
      </c>
      <c r="G718" s="11"/>
      <c r="H718" s="11"/>
      <c r="I718" s="14">
        <v>2</v>
      </c>
      <c r="J718" s="14">
        <v>3</v>
      </c>
      <c r="K718" s="15" t="str">
        <f>HYPERLINK("http://twitter.com/download/iphone","Twitter for iPhone")</f>
        <v>Twitter for iPhone</v>
      </c>
      <c r="L718" s="14">
        <v>2590</v>
      </c>
      <c r="M718" s="14">
        <v>855</v>
      </c>
      <c r="N718" s="14">
        <v>23</v>
      </c>
      <c r="O718" s="16"/>
      <c r="P718" s="6">
        <v>41183.603726851856</v>
      </c>
      <c r="Q718" s="12" t="s">
        <v>35</v>
      </c>
      <c r="R718" s="17" t="s">
        <v>3172</v>
      </c>
      <c r="S718" s="13" t="s">
        <v>3173</v>
      </c>
      <c r="T718" s="11"/>
      <c r="U718" s="10" t="str">
        <f>HYPERLINK("https://pbs.twimg.com/profile_images/1070040363107258374/fSqyQDH7.jpg","View")</f>
        <v>View</v>
      </c>
    </row>
    <row r="719" spans="1:21" ht="20.399999999999999">
      <c r="A719" s="6">
        <v>43440.645821759259</v>
      </c>
      <c r="B719" s="7" t="str">
        <f>HYPERLINK("https://twitter.com/ikerchu","@ikerchu")</f>
        <v>@ikerchu</v>
      </c>
      <c r="C719" s="8" t="s">
        <v>2501</v>
      </c>
      <c r="D719" s="9" t="s">
        <v>2502</v>
      </c>
      <c r="E719" s="10" t="str">
        <f>HYPERLINK("https://twitter.com/ikerchu/status/1070686795644526593","1070686795644526593")</f>
        <v>1070686795644526593</v>
      </c>
      <c r="F719" s="11"/>
      <c r="G719" s="13" t="s">
        <v>2503</v>
      </c>
      <c r="H719" s="11"/>
      <c r="I719" s="14">
        <v>0</v>
      </c>
      <c r="J719" s="14">
        <v>0</v>
      </c>
      <c r="K719" s="15" t="str">
        <f t="shared" ref="K719:K722" si="142">HYPERLINK("http://twitter.com/download/android","Twitter for Android")</f>
        <v>Twitter for Android</v>
      </c>
      <c r="L719" s="14">
        <v>112</v>
      </c>
      <c r="M719" s="14">
        <v>331</v>
      </c>
      <c r="N719" s="14">
        <v>1</v>
      </c>
      <c r="O719" s="16"/>
      <c r="P719" s="6">
        <v>40047.074895833335</v>
      </c>
      <c r="Q719" s="11"/>
      <c r="R719" s="17" t="s">
        <v>2504</v>
      </c>
      <c r="S719" s="11"/>
      <c r="T719" s="11"/>
      <c r="U719" s="10" t="str">
        <f>HYPERLINK("https://pbs.twimg.com/profile_images/477418110044348416/0ni56oXt.png","View")</f>
        <v>View</v>
      </c>
    </row>
    <row r="720" spans="1:21" ht="51">
      <c r="A720" s="6">
        <v>43440.645266203705</v>
      </c>
      <c r="B720" s="7" t="str">
        <f>HYPERLINK("https://twitter.com/frankkyvela","@frankkyvela")</f>
        <v>@frankkyvela</v>
      </c>
      <c r="C720" s="8" t="s">
        <v>2151</v>
      </c>
      <c r="D720" s="9" t="s">
        <v>39</v>
      </c>
      <c r="E720" s="10" t="str">
        <f>HYPERLINK("https://twitter.com/frankkyvela/status/1070686596784160770","1070686596784160770")</f>
        <v>1070686596784160770</v>
      </c>
      <c r="F720" s="13" t="s">
        <v>2152</v>
      </c>
      <c r="G720" s="11"/>
      <c r="H720" s="11"/>
      <c r="I720" s="14">
        <v>0</v>
      </c>
      <c r="J720" s="14">
        <v>0</v>
      </c>
      <c r="K720" s="15" t="str">
        <f t="shared" si="142"/>
        <v>Twitter for Android</v>
      </c>
      <c r="L720" s="14">
        <v>210</v>
      </c>
      <c r="M720" s="14">
        <v>720</v>
      </c>
      <c r="N720" s="14">
        <v>2</v>
      </c>
      <c r="O720" s="16"/>
      <c r="P720" s="6">
        <v>40768.615868055553</v>
      </c>
      <c r="Q720" s="12" t="s">
        <v>2154</v>
      </c>
      <c r="R720" s="17" t="s">
        <v>2155</v>
      </c>
      <c r="S720" s="11"/>
      <c r="T720" s="11"/>
      <c r="U720" s="10" t="str">
        <f>HYPERLINK("https://pbs.twimg.com/profile_images/1063924816930111488/l6PRWQG4.jpg","View")</f>
        <v>View</v>
      </c>
    </row>
    <row r="721" spans="1:21" ht="51">
      <c r="A721" s="6">
        <v>43440.635833333334</v>
      </c>
      <c r="B721" s="7" t="str">
        <f>HYPERLINK("https://twitter.com/potyvega1","@potyvega1")</f>
        <v>@potyvega1</v>
      </c>
      <c r="C721" s="8" t="s">
        <v>2513</v>
      </c>
      <c r="D721" s="9" t="s">
        <v>2514</v>
      </c>
      <c r="E721" s="10" t="str">
        <f>HYPERLINK("https://twitter.com/potyvega1/status/1070683177113608194","1070683177113608194")</f>
        <v>1070683177113608194</v>
      </c>
      <c r="F721" s="13" t="s">
        <v>2516</v>
      </c>
      <c r="G721" s="13" t="s">
        <v>2518</v>
      </c>
      <c r="H721" s="11"/>
      <c r="I721" s="14">
        <v>0</v>
      </c>
      <c r="J721" s="14">
        <v>0</v>
      </c>
      <c r="K721" s="15" t="str">
        <f t="shared" si="142"/>
        <v>Twitter for Android</v>
      </c>
      <c r="L721" s="14">
        <v>1928</v>
      </c>
      <c r="M721" s="14">
        <v>3478</v>
      </c>
      <c r="N721" s="14">
        <v>2</v>
      </c>
      <c r="O721" s="16"/>
      <c r="P721" s="6">
        <v>41057.47446759259</v>
      </c>
      <c r="Q721" s="12" t="s">
        <v>2519</v>
      </c>
      <c r="R721" s="17" t="s">
        <v>2520</v>
      </c>
      <c r="S721" s="11"/>
      <c r="T721" s="11"/>
      <c r="U721" s="10" t="str">
        <f>HYPERLINK("https://pbs.twimg.com/profile_images/1069737328481067011/WQ2QdRwn.jpg","View")</f>
        <v>View</v>
      </c>
    </row>
    <row r="722" spans="1:21" ht="30.6">
      <c r="A722" s="6">
        <v>43440.634432870371</v>
      </c>
      <c r="B722" s="7" t="str">
        <f>HYPERLINK("https://twitter.com/dafevila","@dafevila")</f>
        <v>@dafevila</v>
      </c>
      <c r="C722" s="8" t="s">
        <v>2522</v>
      </c>
      <c r="D722" s="9" t="s">
        <v>2523</v>
      </c>
      <c r="E722" s="10" t="str">
        <f>HYPERLINK("https://twitter.com/dafevila/status/1070682668768079872","1070682668768079872")</f>
        <v>1070682668768079872</v>
      </c>
      <c r="F722" s="11"/>
      <c r="G722" s="13" t="s">
        <v>2525</v>
      </c>
      <c r="H722" s="11"/>
      <c r="I722" s="14">
        <v>6</v>
      </c>
      <c r="J722" s="14">
        <v>9</v>
      </c>
      <c r="K722" s="15" t="str">
        <f t="shared" si="142"/>
        <v>Twitter for Android</v>
      </c>
      <c r="L722" s="14">
        <v>951</v>
      </c>
      <c r="M722" s="14">
        <v>574</v>
      </c>
      <c r="N722" s="14">
        <v>33</v>
      </c>
      <c r="O722" s="16"/>
      <c r="P722" s="6">
        <v>40933.077175925922</v>
      </c>
      <c r="Q722" s="11"/>
      <c r="R722" s="17" t="s">
        <v>2527</v>
      </c>
      <c r="S722" s="11"/>
      <c r="T722" s="11"/>
      <c r="U722" s="10" t="str">
        <f>HYPERLINK("https://pbs.twimg.com/profile_images/378800000451396019/d0cc658425f3fe5dce1138da9a0b6172.jpeg","View")</f>
        <v>View</v>
      </c>
    </row>
    <row r="723" spans="1:21" ht="40.799999999999997">
      <c r="A723" s="6">
        <v>43440.634201388893</v>
      </c>
      <c r="B723" s="7" t="str">
        <f>HYPERLINK("https://twitter.com/IndeGranada","@IndeGranada")</f>
        <v>@IndeGranada</v>
      </c>
      <c r="C723" s="8" t="s">
        <v>3189</v>
      </c>
      <c r="D723" s="9" t="s">
        <v>3190</v>
      </c>
      <c r="E723" s="10" t="str">
        <f>HYPERLINK("https://twitter.com/IndeGranada/status/1070682584319959040","1070682584319959040")</f>
        <v>1070682584319959040</v>
      </c>
      <c r="F723" s="13" t="s">
        <v>3192</v>
      </c>
      <c r="G723" s="13" t="s">
        <v>3193</v>
      </c>
      <c r="H723" s="11"/>
      <c r="I723" s="14">
        <v>0</v>
      </c>
      <c r="J723" s="14">
        <v>1</v>
      </c>
      <c r="K723" s="15" t="str">
        <f>HYPERLINK("http://twitter.com","Twitter Web Client")</f>
        <v>Twitter Web Client</v>
      </c>
      <c r="L723" s="14">
        <v>7070</v>
      </c>
      <c r="M723" s="14">
        <v>594</v>
      </c>
      <c r="N723" s="14">
        <v>184</v>
      </c>
      <c r="O723" s="16"/>
      <c r="P723" s="6">
        <v>42020.60491898148</v>
      </c>
      <c r="Q723" s="12" t="s">
        <v>3194</v>
      </c>
      <c r="R723" s="17" t="s">
        <v>3195</v>
      </c>
      <c r="S723" s="11"/>
      <c r="T723" s="11"/>
      <c r="U723" s="10" t="str">
        <f>HYPERLINK("https://pbs.twimg.com/profile_images/577561039371304960/0kPjKda0.jpeg","View")</f>
        <v>View</v>
      </c>
    </row>
    <row r="724" spans="1:21" ht="30.6">
      <c r="A724" s="6">
        <v>43440.632870370369</v>
      </c>
      <c r="B724" s="7" t="str">
        <f>HYPERLINK("https://twitter.com/pj10jimenez","@pj10jimenez")</f>
        <v>@pj10jimenez</v>
      </c>
      <c r="C724" s="8" t="s">
        <v>2531</v>
      </c>
      <c r="D724" s="9" t="s">
        <v>2532</v>
      </c>
      <c r="E724" s="10" t="str">
        <f>HYPERLINK("https://twitter.com/pj10jimenez/status/1070682103711444993","1070682103711444993")</f>
        <v>1070682103711444993</v>
      </c>
      <c r="F724" s="11"/>
      <c r="G724" s="13" t="s">
        <v>2533</v>
      </c>
      <c r="H724" s="11"/>
      <c r="I724" s="14">
        <v>0</v>
      </c>
      <c r="J724" s="14">
        <v>0</v>
      </c>
      <c r="K724" s="15" t="str">
        <f>HYPERLINK("https://mobile.twitter.com","Twitter Lite")</f>
        <v>Twitter Lite</v>
      </c>
      <c r="L724" s="14">
        <v>95</v>
      </c>
      <c r="M724" s="14">
        <v>301</v>
      </c>
      <c r="N724" s="14">
        <v>0</v>
      </c>
      <c r="O724" s="16"/>
      <c r="P724" s="6">
        <v>41374.979398148149</v>
      </c>
      <c r="Q724" s="12" t="s">
        <v>1785</v>
      </c>
      <c r="R724" s="17" t="s">
        <v>2534</v>
      </c>
      <c r="S724" s="11"/>
      <c r="T724" s="11"/>
      <c r="U724" s="10" t="str">
        <f>HYPERLINK("https://pbs.twimg.com/profile_images/984084896594432007/ODd19AE0.jpg","View")</f>
        <v>View</v>
      </c>
    </row>
    <row r="725" spans="1:21" ht="20.399999999999999">
      <c r="A725" s="6">
        <v>43440.632604166662</v>
      </c>
      <c r="B725" s="7" t="str">
        <f>HYPERLINK("https://twitter.com/elhuron2","@elhuron2")</f>
        <v>@elhuron2</v>
      </c>
      <c r="C725" s="8" t="s">
        <v>3197</v>
      </c>
      <c r="D725" s="9" t="s">
        <v>3198</v>
      </c>
      <c r="E725" s="10" t="str">
        <f>HYPERLINK("https://twitter.com/elhuron2/status/1070682009180270599","1070682009180270599")</f>
        <v>1070682009180270599</v>
      </c>
      <c r="F725" s="13" t="s">
        <v>3199</v>
      </c>
      <c r="G725" s="11"/>
      <c r="H725" s="11"/>
      <c r="I725" s="14">
        <v>0</v>
      </c>
      <c r="J725" s="14">
        <v>0</v>
      </c>
      <c r="K725" s="15" t="str">
        <f>HYPERLINK("https://www.google.com/","Google")</f>
        <v>Google</v>
      </c>
      <c r="L725" s="14">
        <v>412</v>
      </c>
      <c r="M725" s="14">
        <v>501</v>
      </c>
      <c r="N725" s="14">
        <v>6</v>
      </c>
      <c r="O725" s="16"/>
      <c r="P725" s="6">
        <v>41869.952997685185</v>
      </c>
      <c r="Q725" s="12" t="s">
        <v>3202</v>
      </c>
      <c r="R725" s="17" t="s">
        <v>3203</v>
      </c>
      <c r="S725" s="13" t="s">
        <v>3204</v>
      </c>
      <c r="T725" s="11"/>
      <c r="U725" s="10" t="str">
        <f>HYPERLINK("https://pbs.twimg.com/profile_images/803176150629515264/heYiZScX.jpg","View")</f>
        <v>View</v>
      </c>
    </row>
    <row r="726" spans="1:21" ht="112.2">
      <c r="A726" s="6">
        <v>43440.628599537042</v>
      </c>
      <c r="B726" s="7" t="str">
        <f>HYPERLINK("https://twitter.com/UriCAT84","@UriCAT84")</f>
        <v>@UriCAT84</v>
      </c>
      <c r="C726" s="8" t="s">
        <v>81</v>
      </c>
      <c r="D726" s="9" t="s">
        <v>2537</v>
      </c>
      <c r="E726" s="10" t="str">
        <f>HYPERLINK("https://twitter.com/UriCAT84/status/1070680557502283777","1070680557502283777")</f>
        <v>1070680557502283777</v>
      </c>
      <c r="F726" s="13" t="s">
        <v>85</v>
      </c>
      <c r="G726" s="13" t="s">
        <v>86</v>
      </c>
      <c r="H726" s="11"/>
      <c r="I726" s="14">
        <v>0</v>
      </c>
      <c r="J726" s="14">
        <v>0</v>
      </c>
      <c r="K726" s="15" t="str">
        <f>HYPERLINK("http://twitter.com/download/android","Twitter for Android")</f>
        <v>Twitter for Android</v>
      </c>
      <c r="L726" s="14">
        <v>1229</v>
      </c>
      <c r="M726" s="14">
        <v>2065</v>
      </c>
      <c r="N726" s="14">
        <v>0</v>
      </c>
      <c r="O726" s="16"/>
      <c r="P726" s="6">
        <v>40701.65960648148</v>
      </c>
      <c r="Q726" s="11"/>
      <c r="R726" s="18"/>
      <c r="S726" s="11"/>
      <c r="T726" s="11"/>
      <c r="U726" s="10" t="str">
        <f>HYPERLINK("https://pbs.twimg.com/profile_images/915586738516561920/C960_H5-.jpg","View")</f>
        <v>View</v>
      </c>
    </row>
    <row r="727" spans="1:21" ht="30.6">
      <c r="A727" s="6">
        <v>43440.627395833333</v>
      </c>
      <c r="B727" s="7" t="str">
        <f>HYPERLINK("https://twitter.com/isapavonn","@isapavonn")</f>
        <v>@isapavonn</v>
      </c>
      <c r="C727" s="8" t="s">
        <v>3208</v>
      </c>
      <c r="D727" s="9" t="s">
        <v>3209</v>
      </c>
      <c r="E727" s="10" t="str">
        <f>HYPERLINK("https://twitter.com/isapavonn/status/1070680119847645186","1070680119847645186")</f>
        <v>1070680119847645186</v>
      </c>
      <c r="F727" s="13" t="s">
        <v>3212</v>
      </c>
      <c r="G727" s="11"/>
      <c r="H727" s="11"/>
      <c r="I727" s="14">
        <v>0</v>
      </c>
      <c r="J727" s="14">
        <v>0</v>
      </c>
      <c r="K727" s="15" t="str">
        <f>HYPERLINK("https://curiouscat.me","Curious Cat")</f>
        <v>Curious Cat</v>
      </c>
      <c r="L727" s="14">
        <v>535</v>
      </c>
      <c r="M727" s="14">
        <v>481</v>
      </c>
      <c r="N727" s="14">
        <v>5</v>
      </c>
      <c r="O727" s="16"/>
      <c r="P727" s="6">
        <v>42017.946273148147</v>
      </c>
      <c r="Q727" s="12" t="s">
        <v>2376</v>
      </c>
      <c r="R727" s="18"/>
      <c r="S727" s="11"/>
      <c r="T727" s="11"/>
      <c r="U727" s="10" t="str">
        <f>HYPERLINK("https://pbs.twimg.com/profile_images/1064813311810768896/-mJ33zBE.jpg","View")</f>
        <v>View</v>
      </c>
    </row>
    <row r="728" spans="1:21" ht="20.399999999999999">
      <c r="A728" s="6">
        <v>43440.626701388886</v>
      </c>
      <c r="B728" s="7" t="str">
        <f>HYPERLINK("https://twitter.com/freemangman1","@freemangman1")</f>
        <v>@freemangman1</v>
      </c>
      <c r="C728" s="8" t="s">
        <v>3216</v>
      </c>
      <c r="D728" s="9" t="s">
        <v>3217</v>
      </c>
      <c r="E728" s="10" t="str">
        <f>HYPERLINK("https://twitter.com/freemangman1/status/1070679869389004800","1070679869389004800")</f>
        <v>1070679869389004800</v>
      </c>
      <c r="F728" s="13" t="s">
        <v>3218</v>
      </c>
      <c r="G728" s="11"/>
      <c r="H728" s="11"/>
      <c r="I728" s="14">
        <v>0</v>
      </c>
      <c r="J728" s="14">
        <v>0</v>
      </c>
      <c r="K728" s="15" t="str">
        <f>HYPERLINK("http://twitter.com","Twitter Web Client")</f>
        <v>Twitter Web Client</v>
      </c>
      <c r="L728" s="14">
        <v>5</v>
      </c>
      <c r="M728" s="14">
        <v>13</v>
      </c>
      <c r="N728" s="14">
        <v>1</v>
      </c>
      <c r="O728" s="16"/>
      <c r="P728" s="6">
        <v>43437.977418981478</v>
      </c>
      <c r="Q728" s="11"/>
      <c r="R728" s="18"/>
      <c r="S728" s="11"/>
      <c r="T728" s="11"/>
      <c r="U728" s="10" t="str">
        <f>HYPERLINK("https://pbs.twimg.com/profile_images/1069720138243547136/z4ZUm6Om.jpg","View")</f>
        <v>View</v>
      </c>
    </row>
    <row r="729" spans="1:21" ht="40.799999999999997">
      <c r="A729" s="6">
        <v>43440.626388888893</v>
      </c>
      <c r="B729" s="7" t="str">
        <f>HYPERLINK("https://twitter.com/bitMomentum","@bitMomentum")</f>
        <v>@bitMomentum</v>
      </c>
      <c r="C729" s="8" t="s">
        <v>1889</v>
      </c>
      <c r="D729" s="9" t="s">
        <v>2544</v>
      </c>
      <c r="E729" s="10" t="str">
        <f>HYPERLINK("https://twitter.com/bitMomentum/status/1070679753437405190","1070679753437405190")</f>
        <v>1070679753437405190</v>
      </c>
      <c r="F729" s="11"/>
      <c r="G729" s="11"/>
      <c r="H729" s="11"/>
      <c r="I729" s="14">
        <v>0</v>
      </c>
      <c r="J729" s="14">
        <v>0</v>
      </c>
      <c r="K729" s="15" t="str">
        <f>HYPERLINK("http://www.bitmomentum.com","bitMomentum Bot")</f>
        <v>bitMomentum Bot</v>
      </c>
      <c r="L729" s="14">
        <v>10254</v>
      </c>
      <c r="M729" s="14">
        <v>1059</v>
      </c>
      <c r="N729" s="14">
        <v>263</v>
      </c>
      <c r="O729" s="16"/>
      <c r="P729" s="6">
        <v>41608.667511574073</v>
      </c>
      <c r="Q729" s="11"/>
      <c r="R729" s="17" t="s">
        <v>1897</v>
      </c>
      <c r="S729" s="13" t="s">
        <v>1898</v>
      </c>
      <c r="T729" s="11"/>
      <c r="U729" s="10" t="str">
        <f>HYPERLINK("https://pbs.twimg.com/profile_images/378800000862185241/20ij2H3u.png","View")</f>
        <v>View</v>
      </c>
    </row>
    <row r="730" spans="1:21" ht="40.799999999999997">
      <c r="A730" s="6">
        <v>43440.625787037032</v>
      </c>
      <c r="B730" s="7" t="str">
        <f>HYPERLINK("https://twitter.com/rsanchezsa","@rsanchezsa")</f>
        <v>@rsanchezsa</v>
      </c>
      <c r="C730" s="8" t="s">
        <v>3225</v>
      </c>
      <c r="D730" s="9" t="s">
        <v>2937</v>
      </c>
      <c r="E730" s="10" t="str">
        <f>HYPERLINK("https://twitter.com/rsanchezsa/status/1070679537955024897","1070679537955024897")</f>
        <v>1070679537955024897</v>
      </c>
      <c r="F730" s="13" t="s">
        <v>3226</v>
      </c>
      <c r="G730" s="11"/>
      <c r="H730" s="11"/>
      <c r="I730" s="14">
        <v>0</v>
      </c>
      <c r="J730" s="14">
        <v>0</v>
      </c>
      <c r="K730" s="15" t="str">
        <f>HYPERLINK("http://twitter.com/download/android","Twitter for Android")</f>
        <v>Twitter for Android</v>
      </c>
      <c r="L730" s="14">
        <v>1097</v>
      </c>
      <c r="M730" s="14">
        <v>1708</v>
      </c>
      <c r="N730" s="14">
        <v>36</v>
      </c>
      <c r="O730" s="16"/>
      <c r="P730" s="6">
        <v>40563.877685185187</v>
      </c>
      <c r="Q730" s="12" t="s">
        <v>3229</v>
      </c>
      <c r="R730" s="17" t="s">
        <v>3230</v>
      </c>
      <c r="S730" s="13" t="s">
        <v>3231</v>
      </c>
      <c r="T730" s="11"/>
      <c r="U730" s="10" t="str">
        <f>HYPERLINK("https://pbs.twimg.com/profile_images/638739456527306753/XEr1EERq.jpg","View")</f>
        <v>View</v>
      </c>
    </row>
    <row r="731" spans="1:21" ht="20.399999999999999">
      <c r="A731" s="6">
        <v>43440.625740740739</v>
      </c>
      <c r="B731" s="7" t="str">
        <f>HYPERLINK("https://twitter.com/Carcharoth_","@Carcharoth_")</f>
        <v>@Carcharoth_</v>
      </c>
      <c r="C731" s="8" t="s">
        <v>3233</v>
      </c>
      <c r="D731" s="9" t="s">
        <v>3234</v>
      </c>
      <c r="E731" s="10" t="str">
        <f>HYPERLINK("https://twitter.com/Carcharoth_/status/1070679520208961536","1070679520208961536")</f>
        <v>1070679520208961536</v>
      </c>
      <c r="F731" s="13" t="s">
        <v>3235</v>
      </c>
      <c r="G731" s="11"/>
      <c r="H731" s="11"/>
      <c r="I731" s="14">
        <v>0</v>
      </c>
      <c r="J731" s="14">
        <v>0</v>
      </c>
      <c r="K731" s="15" t="str">
        <f>HYPERLINK("https://www.google.com/","Google")</f>
        <v>Google</v>
      </c>
      <c r="L731" s="14">
        <v>14</v>
      </c>
      <c r="M731" s="14">
        <v>64</v>
      </c>
      <c r="N731" s="14">
        <v>0</v>
      </c>
      <c r="O731" s="16"/>
      <c r="P731" s="6">
        <v>42128.779594907406</v>
      </c>
      <c r="Q731" s="11"/>
      <c r="R731" s="18"/>
      <c r="S731" s="11"/>
      <c r="T731" s="11"/>
      <c r="U731" s="10" t="str">
        <f>HYPERLINK("https://pbs.twimg.com/profile_images/595267980860256256/ojZgJiT8.jpg","View")</f>
        <v>View</v>
      </c>
    </row>
    <row r="732" spans="1:21" ht="51">
      <c r="A732" s="6">
        <v>43440.625694444447</v>
      </c>
      <c r="B732" s="7" t="str">
        <f>HYPERLINK("https://twitter.com/bitMomentum","@bitMomentum")</f>
        <v>@bitMomentum</v>
      </c>
      <c r="C732" s="8" t="s">
        <v>1889</v>
      </c>
      <c r="D732" s="9" t="s">
        <v>2546</v>
      </c>
      <c r="E732" s="10" t="str">
        <f>HYPERLINK("https://twitter.com/bitMomentum/status/1070679501909176320","1070679501909176320")</f>
        <v>1070679501909176320</v>
      </c>
      <c r="F732" s="11"/>
      <c r="G732" s="11"/>
      <c r="H732" s="11"/>
      <c r="I732" s="14">
        <v>0</v>
      </c>
      <c r="J732" s="14">
        <v>1</v>
      </c>
      <c r="K732" s="15" t="str">
        <f>HYPERLINK("http://www.bitmomentum.com","bitMomentum Bot")</f>
        <v>bitMomentum Bot</v>
      </c>
      <c r="L732" s="14">
        <v>10254</v>
      </c>
      <c r="M732" s="14">
        <v>1059</v>
      </c>
      <c r="N732" s="14">
        <v>263</v>
      </c>
      <c r="O732" s="16"/>
      <c r="P732" s="6">
        <v>41608.667511574073</v>
      </c>
      <c r="Q732" s="11"/>
      <c r="R732" s="17" t="s">
        <v>1897</v>
      </c>
      <c r="S732" s="13" t="s">
        <v>1898</v>
      </c>
      <c r="T732" s="11"/>
      <c r="U732" s="10" t="str">
        <f>HYPERLINK("https://pbs.twimg.com/profile_images/378800000862185241/20ij2H3u.png","View")</f>
        <v>View</v>
      </c>
    </row>
    <row r="733" spans="1:21" ht="30.6">
      <c r="A733" s="6">
        <v>43440.625520833331</v>
      </c>
      <c r="B733" s="7" t="str">
        <f>HYPERLINK("https://twitter.com/_RuizBartolome","@_RuizBartolome")</f>
        <v>@_RuizBartolome</v>
      </c>
      <c r="C733" s="8" t="s">
        <v>2549</v>
      </c>
      <c r="D733" s="9" t="s">
        <v>2550</v>
      </c>
      <c r="E733" s="10" t="str">
        <f>HYPERLINK("https://twitter.com/_RuizBartolome/status/1070679440143908866","1070679440143908866")</f>
        <v>1070679440143908866</v>
      </c>
      <c r="F733" s="11"/>
      <c r="G733" s="11"/>
      <c r="H733" s="11"/>
      <c r="I733" s="14">
        <v>0</v>
      </c>
      <c r="J733" s="14">
        <v>1</v>
      </c>
      <c r="K733" s="15" t="str">
        <f>HYPERLINK("http://twitter.com/download/iphone","Twitter for iPhone")</f>
        <v>Twitter for iPhone</v>
      </c>
      <c r="L733" s="14">
        <v>5462</v>
      </c>
      <c r="M733" s="14">
        <v>1754</v>
      </c>
      <c r="N733" s="14">
        <v>234</v>
      </c>
      <c r="O733" s="16"/>
      <c r="P733" s="6">
        <v>40605.446273148147</v>
      </c>
      <c r="Q733" s="12" t="s">
        <v>137</v>
      </c>
      <c r="R733" s="17" t="s">
        <v>2551</v>
      </c>
      <c r="S733" s="11"/>
      <c r="T733" s="11"/>
      <c r="U733" s="10" t="str">
        <f>HYPERLINK("https://pbs.twimg.com/profile_images/1063029443713736706/kWeBaP6u.jpg","View")</f>
        <v>View</v>
      </c>
    </row>
    <row r="734" spans="1:21" ht="40.799999999999997">
      <c r="A734" s="6">
        <v>43440.625057870369</v>
      </c>
      <c r="B734" s="7" t="str">
        <f>HYPERLINK("https://twitter.com/PartidoRepEs","@PartidoRepEs")</f>
        <v>@PartidoRepEs</v>
      </c>
      <c r="C734" s="8" t="s">
        <v>519</v>
      </c>
      <c r="D734" s="9" t="s">
        <v>3244</v>
      </c>
      <c r="E734" s="10" t="str">
        <f>HYPERLINK("https://twitter.com/PartidoRepEs/status/1070679274271707139","1070679274271707139")</f>
        <v>1070679274271707139</v>
      </c>
      <c r="F734" s="11"/>
      <c r="G734" s="13" t="s">
        <v>3247</v>
      </c>
      <c r="H734" s="11"/>
      <c r="I734" s="14">
        <v>0</v>
      </c>
      <c r="J734" s="14">
        <v>0</v>
      </c>
      <c r="K734" s="15" t="str">
        <f>HYPERLINK("https://mobile.twitter.com","Twitter Lite")</f>
        <v>Twitter Lite</v>
      </c>
      <c r="L734" s="14">
        <v>4366</v>
      </c>
      <c r="M734" s="14">
        <v>4993</v>
      </c>
      <c r="N734" s="14">
        <v>25</v>
      </c>
      <c r="O734" s="16"/>
      <c r="P734" s="6">
        <v>42183.720682870371</v>
      </c>
      <c r="Q734" s="11"/>
      <c r="R734" s="17" t="s">
        <v>523</v>
      </c>
      <c r="S734" s="13" t="s">
        <v>524</v>
      </c>
      <c r="T734" s="11"/>
      <c r="U734" s="10" t="str">
        <f>HYPERLINK("https://pbs.twimg.com/profile_images/615180335417040901/p8IX-96B.jpg","View")</f>
        <v>View</v>
      </c>
    </row>
    <row r="735" spans="1:21" ht="40.799999999999997">
      <c r="A735" s="6">
        <v>43440.625</v>
      </c>
      <c r="B735" s="7" t="str">
        <f>HYPERLINK("https://twitter.com/Cs_Asturias","@Cs_Asturias")</f>
        <v>@Cs_Asturias</v>
      </c>
      <c r="C735" s="8" t="s">
        <v>1845</v>
      </c>
      <c r="D735" s="9" t="s">
        <v>2554</v>
      </c>
      <c r="E735" s="10" t="str">
        <f>HYPERLINK("https://twitter.com/Cs_Asturias/status/1070679251911872512","1070679251911872512")</f>
        <v>1070679251911872512</v>
      </c>
      <c r="F735" s="11"/>
      <c r="G735" s="13" t="s">
        <v>2558</v>
      </c>
      <c r="H735" s="11"/>
      <c r="I735" s="14">
        <v>5</v>
      </c>
      <c r="J735" s="14">
        <v>7</v>
      </c>
      <c r="K735" s="15" t="str">
        <f>HYPERLINK("https://studio.twitter.com","Twitter Media Studio")</f>
        <v>Twitter Media Studio</v>
      </c>
      <c r="L735" s="14">
        <v>5720</v>
      </c>
      <c r="M735" s="14">
        <v>1485</v>
      </c>
      <c r="N735" s="14">
        <v>98</v>
      </c>
      <c r="O735" s="19" t="s">
        <v>42</v>
      </c>
      <c r="P735" s="6">
        <v>41704.560023148151</v>
      </c>
      <c r="Q735" s="11"/>
      <c r="R735" s="17" t="s">
        <v>1848</v>
      </c>
      <c r="S735" s="13" t="s">
        <v>822</v>
      </c>
      <c r="T735" s="11"/>
      <c r="U735" s="10" t="str">
        <f>HYPERLINK("https://pbs.twimg.com/profile_images/1053409692960075776/pqztNRjY.jpg","View")</f>
        <v>View</v>
      </c>
    </row>
    <row r="736" spans="1:21" ht="51">
      <c r="A736" s="6">
        <v>43440.624745370369</v>
      </c>
      <c r="B736" s="7" t="str">
        <f>HYPERLINK("https://twitter.com/JoseMaria_RM","@JoseMaria_RM")</f>
        <v>@JoseMaria_RM</v>
      </c>
      <c r="C736" s="8" t="s">
        <v>2563</v>
      </c>
      <c r="D736" s="9" t="s">
        <v>39</v>
      </c>
      <c r="E736" s="10" t="str">
        <f>HYPERLINK("https://twitter.com/JoseMaria_RM/status/1070679157930147840","1070679157930147840")</f>
        <v>1070679157930147840</v>
      </c>
      <c r="F736" s="13" t="s">
        <v>2564</v>
      </c>
      <c r="G736" s="11"/>
      <c r="H736" s="11"/>
      <c r="I736" s="14">
        <v>0</v>
      </c>
      <c r="J736" s="14">
        <v>0</v>
      </c>
      <c r="K736" s="15" t="str">
        <f>HYPERLINK("http://twitter.com/download/iphone","Twitter for iPhone")</f>
        <v>Twitter for iPhone</v>
      </c>
      <c r="L736" s="14">
        <v>4080</v>
      </c>
      <c r="M736" s="14">
        <v>1919</v>
      </c>
      <c r="N736" s="14">
        <v>69</v>
      </c>
      <c r="O736" s="16"/>
      <c r="P736" s="6">
        <v>40304.60564814815</v>
      </c>
      <c r="Q736" s="11"/>
      <c r="R736" s="17" t="s">
        <v>2567</v>
      </c>
      <c r="S736" s="11"/>
      <c r="T736" s="11"/>
      <c r="U736" s="10" t="str">
        <f>HYPERLINK("https://pbs.twimg.com/profile_images/843237610747281408/a2KNpvzA.jpg","View")</f>
        <v>View</v>
      </c>
    </row>
    <row r="737" spans="1:21" ht="40.799999999999997">
      <c r="A737" s="6">
        <v>43440.624710648146</v>
      </c>
      <c r="B737" s="7" t="str">
        <f>HYPERLINK("https://twitter.com/MeloRguez","@MeloRguez")</f>
        <v>@MeloRguez</v>
      </c>
      <c r="C737" s="8" t="s">
        <v>3252</v>
      </c>
      <c r="D737" s="9" t="s">
        <v>3253</v>
      </c>
      <c r="E737" s="10" t="str">
        <f>HYPERLINK("https://twitter.com/MeloRguez/status/1070679146177720320","1070679146177720320")</f>
        <v>1070679146177720320</v>
      </c>
      <c r="F737" s="13" t="s">
        <v>3254</v>
      </c>
      <c r="G737" s="13" t="s">
        <v>3255</v>
      </c>
      <c r="H737" s="11"/>
      <c r="I737" s="14">
        <v>1</v>
      </c>
      <c r="J737" s="14">
        <v>0</v>
      </c>
      <c r="K737" s="15" t="str">
        <f>HYPERLINK("http://twitter.com/download/android","Twitter for Android")</f>
        <v>Twitter for Android</v>
      </c>
      <c r="L737" s="14">
        <v>520</v>
      </c>
      <c r="M737" s="14">
        <v>600</v>
      </c>
      <c r="N737" s="14">
        <v>3</v>
      </c>
      <c r="O737" s="16"/>
      <c r="P737" s="6">
        <v>41064.647951388892</v>
      </c>
      <c r="Q737" s="12" t="s">
        <v>3256</v>
      </c>
      <c r="R737" s="17" t="s">
        <v>3257</v>
      </c>
      <c r="S737" s="13" t="s">
        <v>3258</v>
      </c>
      <c r="T737" s="11"/>
      <c r="U737" s="10" t="str">
        <f>HYPERLINK("https://pbs.twimg.com/profile_images/1068937175251722240/YrkhjDZu.jpg","View")</f>
        <v>View</v>
      </c>
    </row>
    <row r="738" spans="1:21" ht="61.2">
      <c r="A738" s="6">
        <v>43440.622928240744</v>
      </c>
      <c r="B738" s="7" t="str">
        <f>HYPERLINK("https://twitter.com/L0nelyW0lf70","@L0nelyW0lf70")</f>
        <v>@L0nelyW0lf70</v>
      </c>
      <c r="C738" s="20" t="s">
        <v>2569</v>
      </c>
      <c r="D738" s="9" t="s">
        <v>2570</v>
      </c>
      <c r="E738" s="10" t="str">
        <f>HYPERLINK("https://twitter.com/L0nelyW0lf70/status/1070678501106294784","1070678501106294784")</f>
        <v>1070678501106294784</v>
      </c>
      <c r="F738" s="13" t="s">
        <v>2572</v>
      </c>
      <c r="G738" s="13" t="s">
        <v>2573</v>
      </c>
      <c r="H738" s="11"/>
      <c r="I738" s="14">
        <v>0</v>
      </c>
      <c r="J738" s="14">
        <v>0</v>
      </c>
      <c r="K738" s="15" t="str">
        <f>HYPERLINK("http://twitter.com","Twitter Web Client")</f>
        <v>Twitter Web Client</v>
      </c>
      <c r="L738" s="14">
        <v>622</v>
      </c>
      <c r="M738" s="14">
        <v>849</v>
      </c>
      <c r="N738" s="14">
        <v>2</v>
      </c>
      <c r="O738" s="16"/>
      <c r="P738" s="6">
        <v>43335.887094907404</v>
      </c>
      <c r="Q738" s="12" t="s">
        <v>2574</v>
      </c>
      <c r="R738" s="17" t="s">
        <v>2575</v>
      </c>
      <c r="S738" s="11"/>
      <c r="T738" s="11"/>
      <c r="U738" s="10" t="str">
        <f>HYPERLINK("https://pbs.twimg.com/profile_images/1070321731607388160/YlBHEYkq.jpg","View")</f>
        <v>View</v>
      </c>
    </row>
    <row r="739" spans="1:21" ht="40.799999999999997">
      <c r="A739" s="6">
        <v>43440.621574074074</v>
      </c>
      <c r="B739" s="7" t="str">
        <f>HYPERLINK("https://twitter.com/lextresabogados","@lextresabogados")</f>
        <v>@lextresabogados</v>
      </c>
      <c r="C739" s="8" t="s">
        <v>26</v>
      </c>
      <c r="D739" s="9" t="s">
        <v>3263</v>
      </c>
      <c r="E739" s="10" t="str">
        <f>HYPERLINK("https://twitter.com/lextresabogados/status/1070678010527928320","1070678010527928320")</f>
        <v>1070678010527928320</v>
      </c>
      <c r="F739" s="12" t="s">
        <v>2586</v>
      </c>
      <c r="G739" s="11"/>
      <c r="H739" s="11"/>
      <c r="I739" s="14">
        <v>0</v>
      </c>
      <c r="J739" s="14">
        <v>0</v>
      </c>
      <c r="K739" s="15" t="str">
        <f>HYPERLINK("http://35.180.36.179","botize nueva")</f>
        <v>botize nueva</v>
      </c>
      <c r="L739" s="14">
        <v>2912</v>
      </c>
      <c r="M739" s="14">
        <v>3525</v>
      </c>
      <c r="N739" s="14">
        <v>26</v>
      </c>
      <c r="O739" s="16"/>
      <c r="P739" s="6">
        <v>42880.770949074074</v>
      </c>
      <c r="Q739" s="12" t="s">
        <v>35</v>
      </c>
      <c r="R739" s="17" t="s">
        <v>36</v>
      </c>
      <c r="S739" s="13" t="s">
        <v>37</v>
      </c>
      <c r="T739" s="11"/>
      <c r="U739" s="10" t="str">
        <f>HYPERLINK("https://pbs.twimg.com/profile_images/1068056978679898113/YnjKwiVy.jpg","View")</f>
        <v>View</v>
      </c>
    </row>
    <row r="740" spans="1:21" ht="40.799999999999997">
      <c r="A740" s="6">
        <v>43440.620729166665</v>
      </c>
      <c r="B740" s="7" t="str">
        <f>HYPERLINK("https://twitter.com/etrigar","@etrigar")</f>
        <v>@etrigar</v>
      </c>
      <c r="C740" s="8" t="s">
        <v>2578</v>
      </c>
      <c r="D740" s="9" t="s">
        <v>2579</v>
      </c>
      <c r="E740" s="10" t="str">
        <f>HYPERLINK("https://twitter.com/etrigar/status/1070677705769844736","1070677705769844736")</f>
        <v>1070677705769844736</v>
      </c>
      <c r="F740" s="13" t="s">
        <v>2582</v>
      </c>
      <c r="G740" s="11"/>
      <c r="H740" s="11"/>
      <c r="I740" s="14">
        <v>0</v>
      </c>
      <c r="J740" s="14">
        <v>0</v>
      </c>
      <c r="K740" s="15" t="str">
        <f>HYPERLINK("http://twitter.com","Twitter Web Client")</f>
        <v>Twitter Web Client</v>
      </c>
      <c r="L740" s="14">
        <v>495</v>
      </c>
      <c r="M740" s="14">
        <v>673</v>
      </c>
      <c r="N740" s="14">
        <v>28</v>
      </c>
      <c r="O740" s="16"/>
      <c r="P740" s="6">
        <v>41106.399930555555</v>
      </c>
      <c r="Q740" s="12" t="s">
        <v>29</v>
      </c>
      <c r="R740" s="17" t="s">
        <v>2583</v>
      </c>
      <c r="S740" s="11"/>
      <c r="T740" s="11"/>
      <c r="U740" s="10" t="str">
        <f>HYPERLINK("https://pbs.twimg.com/profile_images/633040619984711680/aB-aD_Ku.jpg","View")</f>
        <v>View</v>
      </c>
    </row>
    <row r="741" spans="1:21" ht="40.799999999999997">
      <c r="A741" s="6">
        <v>43440.618344907409</v>
      </c>
      <c r="B741" s="7" t="str">
        <f>HYPERLINK("https://twitter.com/heraldoes","@heraldoes")</f>
        <v>@heraldoes</v>
      </c>
      <c r="C741" s="8" t="s">
        <v>2584</v>
      </c>
      <c r="D741" s="9" t="s">
        <v>2585</v>
      </c>
      <c r="E741" s="10" t="str">
        <f>HYPERLINK("https://twitter.com/heraldoes/status/1070676840505896960","1070676840505896960")</f>
        <v>1070676840505896960</v>
      </c>
      <c r="F741" s="12" t="s">
        <v>2586</v>
      </c>
      <c r="G741" s="11"/>
      <c r="H741" s="11"/>
      <c r="I741" s="14">
        <v>0</v>
      </c>
      <c r="J741" s="14">
        <v>2</v>
      </c>
      <c r="K741" s="15" t="str">
        <f>HYPERLINK("http://dogtrack.es","DogTrack_Oficial")</f>
        <v>DogTrack_Oficial</v>
      </c>
      <c r="L741" s="14">
        <v>145193</v>
      </c>
      <c r="M741" s="14">
        <v>1279</v>
      </c>
      <c r="N741" s="14">
        <v>1924</v>
      </c>
      <c r="O741" s="19" t="s">
        <v>42</v>
      </c>
      <c r="P741" s="6">
        <v>39653.629861111112</v>
      </c>
      <c r="Q741" s="12" t="s">
        <v>2587</v>
      </c>
      <c r="R741" s="17" t="s">
        <v>2588</v>
      </c>
      <c r="S741" s="13" t="s">
        <v>2589</v>
      </c>
      <c r="T741" s="11"/>
      <c r="U741" s="10" t="str">
        <f>HYPERLINK("https://pbs.twimg.com/profile_images/880005509096636418/DLa1QKbl.jpg","View")</f>
        <v>View</v>
      </c>
    </row>
    <row r="742" spans="1:21" ht="40.799999999999997">
      <c r="A742" s="6">
        <v>43440.618148148147</v>
      </c>
      <c r="B742" s="7" t="str">
        <f>HYPERLINK("https://twitter.com/Albert_Rivera","@Albert_Rivera")</f>
        <v>@Albert_Rivera</v>
      </c>
      <c r="C742" s="8" t="s">
        <v>443</v>
      </c>
      <c r="D742" s="9" t="s">
        <v>3272</v>
      </c>
      <c r="E742" s="10" t="str">
        <f>HYPERLINK("https://twitter.com/Albert_Rivera/status/1070676769122988032","1070676769122988032")</f>
        <v>1070676769122988032</v>
      </c>
      <c r="F742" s="13" t="s">
        <v>3273</v>
      </c>
      <c r="G742" s="11"/>
      <c r="H742" s="11"/>
      <c r="I742" s="14">
        <v>160</v>
      </c>
      <c r="J742" s="14">
        <v>622</v>
      </c>
      <c r="K742" s="15" t="str">
        <f>HYPERLINK("http://twitter.com/download/iphone","Twitter for iPhone")</f>
        <v>Twitter for iPhone</v>
      </c>
      <c r="L742" s="14">
        <v>1075808</v>
      </c>
      <c r="M742" s="14">
        <v>2547</v>
      </c>
      <c r="N742" s="14">
        <v>5114</v>
      </c>
      <c r="O742" s="19" t="s">
        <v>42</v>
      </c>
      <c r="P742" s="6">
        <v>40205.748171296298</v>
      </c>
      <c r="Q742" s="12" t="s">
        <v>137</v>
      </c>
      <c r="R742" s="17" t="s">
        <v>450</v>
      </c>
      <c r="S742" s="13" t="s">
        <v>452</v>
      </c>
      <c r="T742" s="11"/>
      <c r="U742" s="10" t="str">
        <f>HYPERLINK("https://pbs.twimg.com/profile_images/1030708936779988993/RncDM4EZ.jpg","View")</f>
        <v>View</v>
      </c>
    </row>
    <row r="743" spans="1:21" ht="30.6">
      <c r="A743" s="6">
        <v>43440.617048611108</v>
      </c>
      <c r="B743" s="7" t="str">
        <f>HYPERLINK("https://twitter.com/luismimostro","@luismimostro")</f>
        <v>@luismimostro</v>
      </c>
      <c r="C743" s="8" t="s">
        <v>2593</v>
      </c>
      <c r="D743" s="9" t="s">
        <v>2594</v>
      </c>
      <c r="E743" s="10" t="str">
        <f>HYPERLINK("https://twitter.com/luismimostro/status/1070676370676744192","1070676370676744192")</f>
        <v>1070676370676744192</v>
      </c>
      <c r="F743" s="12" t="s">
        <v>2597</v>
      </c>
      <c r="G743" s="11"/>
      <c r="H743" s="11"/>
      <c r="I743" s="14">
        <v>0</v>
      </c>
      <c r="J743" s="14">
        <v>0</v>
      </c>
      <c r="K743" s="15" t="str">
        <f>HYPERLINK("http://twitter.com/download/android","Twitter for Android")</f>
        <v>Twitter for Android</v>
      </c>
      <c r="L743" s="14">
        <v>371</v>
      </c>
      <c r="M743" s="14">
        <v>1836</v>
      </c>
      <c r="N743" s="14">
        <v>3</v>
      </c>
      <c r="O743" s="16"/>
      <c r="P743" s="6">
        <v>41028.786064814813</v>
      </c>
      <c r="Q743" s="12" t="s">
        <v>2599</v>
      </c>
      <c r="R743" s="17" t="s">
        <v>2600</v>
      </c>
      <c r="S743" s="11"/>
      <c r="T743" s="11"/>
      <c r="U743" s="10" t="str">
        <f>HYPERLINK("https://pbs.twimg.com/profile_images/1043883252698808321/6adxyAMa.jpg","View")</f>
        <v>View</v>
      </c>
    </row>
    <row r="744" spans="1:21" ht="81.599999999999994">
      <c r="A744" s="6">
        <v>43440.613506944443</v>
      </c>
      <c r="B744" s="7" t="str">
        <f>HYPERLINK("https://twitter.com/L0nelyW0lf70","@L0nelyW0lf70")</f>
        <v>@L0nelyW0lf70</v>
      </c>
      <c r="C744" s="20" t="s">
        <v>2569</v>
      </c>
      <c r="D744" s="9" t="s">
        <v>2604</v>
      </c>
      <c r="E744" s="10" t="str">
        <f>HYPERLINK("https://twitter.com/L0nelyW0lf70/status/1070675085101539328","1070675085101539328")</f>
        <v>1070675085101539328</v>
      </c>
      <c r="F744" s="13" t="s">
        <v>1853</v>
      </c>
      <c r="G744" s="13" t="s">
        <v>1835</v>
      </c>
      <c r="H744" s="11"/>
      <c r="I744" s="14">
        <v>0</v>
      </c>
      <c r="J744" s="14">
        <v>0</v>
      </c>
      <c r="K744" s="15" t="str">
        <f>HYPERLINK("http://twitter.com","Twitter Web Client")</f>
        <v>Twitter Web Client</v>
      </c>
      <c r="L744" s="14">
        <v>622</v>
      </c>
      <c r="M744" s="14">
        <v>849</v>
      </c>
      <c r="N744" s="14">
        <v>2</v>
      </c>
      <c r="O744" s="16"/>
      <c r="P744" s="6">
        <v>43335.887094907404</v>
      </c>
      <c r="Q744" s="12" t="s">
        <v>2574</v>
      </c>
      <c r="R744" s="17" t="s">
        <v>2575</v>
      </c>
      <c r="S744" s="11"/>
      <c r="T744" s="11"/>
      <c r="U744" s="10" t="str">
        <f>HYPERLINK("https://pbs.twimg.com/profile_images/1070321731607388160/YlBHEYkq.jpg","View")</f>
        <v>View</v>
      </c>
    </row>
    <row r="745" spans="1:21" ht="51">
      <c r="A745" s="6">
        <v>43440.612453703703</v>
      </c>
      <c r="B745" s="7" t="str">
        <f>HYPERLINK("https://twitter.com/PugaGmail","@PugaGmail")</f>
        <v>@PugaGmail</v>
      </c>
      <c r="C745" s="8" t="s">
        <v>3283</v>
      </c>
      <c r="D745" s="9" t="s">
        <v>3284</v>
      </c>
      <c r="E745" s="10" t="str">
        <f>HYPERLINK("https://twitter.com/PugaGmail/status/1070674706506887168","1070674706506887168")</f>
        <v>1070674706506887168</v>
      </c>
      <c r="F745" s="11"/>
      <c r="G745" s="11"/>
      <c r="H745" s="11"/>
      <c r="I745" s="14">
        <v>25</v>
      </c>
      <c r="J745" s="14">
        <v>26</v>
      </c>
      <c r="K745" s="15" t="str">
        <f>HYPERLINK("http://twitter.com/download/android","Twitter for Android")</f>
        <v>Twitter for Android</v>
      </c>
      <c r="L745" s="14">
        <v>29842</v>
      </c>
      <c r="M745" s="14">
        <v>28600</v>
      </c>
      <c r="N745" s="14">
        <v>122</v>
      </c>
      <c r="O745" s="16"/>
      <c r="P745" s="6">
        <v>41536.721365740741</v>
      </c>
      <c r="Q745" s="12" t="s">
        <v>3287</v>
      </c>
      <c r="R745" s="17" t="s">
        <v>3288</v>
      </c>
      <c r="S745" s="11"/>
      <c r="T745" s="11"/>
      <c r="U745" s="10" t="str">
        <f>HYPERLINK("https://pbs.twimg.com/profile_images/1058623281740369921/bcxS_YpA.jpg","View")</f>
        <v>View</v>
      </c>
    </row>
    <row r="746" spans="1:21" ht="20.399999999999999">
      <c r="A746" s="6">
        <v>43440.611979166672</v>
      </c>
      <c r="B746" s="7" t="str">
        <f>HYPERLINK("https://twitter.com/aguilerapan","@aguilerapan")</f>
        <v>@aguilerapan</v>
      </c>
      <c r="C746" s="8" t="s">
        <v>45</v>
      </c>
      <c r="D746" s="9" t="s">
        <v>3290</v>
      </c>
      <c r="E746" s="10" t="str">
        <f>HYPERLINK("https://twitter.com/aguilerapan/status/1070674532074172417","1070674532074172417")</f>
        <v>1070674532074172417</v>
      </c>
      <c r="F746" s="13" t="s">
        <v>3291</v>
      </c>
      <c r="G746" s="11"/>
      <c r="H746" s="11"/>
      <c r="I746" s="14">
        <v>0</v>
      </c>
      <c r="J746" s="14">
        <v>0</v>
      </c>
      <c r="K746" s="15" t="str">
        <f>HYPERLINK("http://twitter.com","Twitter Web Client")</f>
        <v>Twitter Web Client</v>
      </c>
      <c r="L746" s="14">
        <v>3998</v>
      </c>
      <c r="M746" s="14">
        <v>3314</v>
      </c>
      <c r="N746" s="14">
        <v>248</v>
      </c>
      <c r="O746" s="16"/>
      <c r="P746" s="6">
        <v>40483.73097222222</v>
      </c>
      <c r="Q746" s="12" t="s">
        <v>35</v>
      </c>
      <c r="R746" s="18"/>
      <c r="S746" s="13" t="s">
        <v>51</v>
      </c>
      <c r="T746" s="11"/>
      <c r="U746" s="10" t="str">
        <f>HYPERLINK("https://pbs.twimg.com/profile_images/1028001263282208772/QqlqL0OO.jpg","View")</f>
        <v>View</v>
      </c>
    </row>
    <row r="747" spans="1:21" ht="30.6">
      <c r="A747" s="6">
        <v>43440.611261574071</v>
      </c>
      <c r="B747" s="7" t="str">
        <f>HYPERLINK("https://twitter.com/InfoHeaders_Tes","@InfoHeaders_Tes")</f>
        <v>@InfoHeaders_Tes</v>
      </c>
      <c r="C747" s="8" t="s">
        <v>3294</v>
      </c>
      <c r="D747" s="9" t="s">
        <v>3295</v>
      </c>
      <c r="E747" s="10" t="str">
        <f>HYPERLINK("https://twitter.com/InfoHeaders_Tes/status/1070674271096266752","1070674271096266752")</f>
        <v>1070674271096266752</v>
      </c>
      <c r="F747" s="13" t="s">
        <v>2011</v>
      </c>
      <c r="G747" s="11"/>
      <c r="H747" s="11"/>
      <c r="I747" s="14">
        <v>0</v>
      </c>
      <c r="J747" s="14">
        <v>0</v>
      </c>
      <c r="K747" s="15" t="str">
        <f>HYPERLINK("http://www.infoheaders.com","Send _Tw_INFH_Test")</f>
        <v>Send _Tw_INFH_Test</v>
      </c>
      <c r="L747" s="14">
        <v>201</v>
      </c>
      <c r="M747" s="14">
        <v>1</v>
      </c>
      <c r="N747" s="14">
        <v>100</v>
      </c>
      <c r="O747" s="16"/>
      <c r="P747" s="6">
        <v>41315.710497685184</v>
      </c>
      <c r="Q747" s="12" t="s">
        <v>137</v>
      </c>
      <c r="R747" s="17" t="s">
        <v>3296</v>
      </c>
      <c r="S747" s="13" t="s">
        <v>3297</v>
      </c>
      <c r="T747" s="11"/>
      <c r="U747" s="10" t="str">
        <f>HYPERLINK("https://pbs.twimg.com/profile_images/3234700567/566c3c8e394f76d77a41eafe1bfc7aa3.jpeg","View")</f>
        <v>View</v>
      </c>
    </row>
    <row r="748" spans="1:21" ht="51">
      <c r="A748" s="6">
        <v>43440.611076388886</v>
      </c>
      <c r="B748" s="7" t="str">
        <f>HYPERLINK("https://twitter.com/luis78SFC","@luis78SFC")</f>
        <v>@luis78SFC</v>
      </c>
      <c r="C748" s="8" t="s">
        <v>2605</v>
      </c>
      <c r="D748" s="9" t="s">
        <v>2606</v>
      </c>
      <c r="E748" s="10" t="str">
        <f>HYPERLINK("https://twitter.com/luis78SFC/status/1070674205841207297","1070674205841207297")</f>
        <v>1070674205841207297</v>
      </c>
      <c r="F748" s="11"/>
      <c r="G748" s="11"/>
      <c r="H748" s="11"/>
      <c r="I748" s="14">
        <v>0</v>
      </c>
      <c r="J748" s="14">
        <v>2</v>
      </c>
      <c r="K748" s="15" t="str">
        <f>HYPERLINK("http://twitter.com/download/android","Twitter for Android")</f>
        <v>Twitter for Android</v>
      </c>
      <c r="L748" s="14">
        <v>1425</v>
      </c>
      <c r="M748" s="14">
        <v>1260</v>
      </c>
      <c r="N748" s="14">
        <v>23</v>
      </c>
      <c r="O748" s="16"/>
      <c r="P748" s="6">
        <v>41225.834768518514</v>
      </c>
      <c r="Q748" s="12" t="s">
        <v>477</v>
      </c>
      <c r="R748" s="17" t="s">
        <v>2609</v>
      </c>
      <c r="S748" s="11"/>
      <c r="T748" s="11"/>
      <c r="U748" s="10" t="str">
        <f>HYPERLINK("https://pbs.twimg.com/profile_images/1038339178981928961/w-b_ML7k.jpg","View")</f>
        <v>View</v>
      </c>
    </row>
    <row r="749" spans="1:21" ht="30.6">
      <c r="A749" s="6">
        <v>43440.606446759259</v>
      </c>
      <c r="B749" s="7" t="str">
        <f>HYPERLINK("https://twitter.com/Salvy_FoToLoSaL","@Salvy_FoToLoSaL")</f>
        <v>@Salvy_FoToLoSaL</v>
      </c>
      <c r="C749" s="8" t="s">
        <v>3300</v>
      </c>
      <c r="D749" s="9" t="s">
        <v>3301</v>
      </c>
      <c r="E749" s="10" t="str">
        <f>HYPERLINK("https://twitter.com/Salvy_FoToLoSaL/status/1070672526651604995","1070672526651604995")</f>
        <v>1070672526651604995</v>
      </c>
      <c r="F749" s="13" t="s">
        <v>2582</v>
      </c>
      <c r="G749" s="11"/>
      <c r="H749" s="11"/>
      <c r="I749" s="14">
        <v>0</v>
      </c>
      <c r="J749" s="14">
        <v>0</v>
      </c>
      <c r="K749" s="15" t="str">
        <f>HYPERLINK("http://twitter.com","Twitter Web Client")</f>
        <v>Twitter Web Client</v>
      </c>
      <c r="L749" s="14">
        <v>1269</v>
      </c>
      <c r="M749" s="14">
        <v>2755</v>
      </c>
      <c r="N749" s="14">
        <v>32</v>
      </c>
      <c r="O749" s="16"/>
      <c r="P749" s="6">
        <v>40251.655810185184</v>
      </c>
      <c r="Q749" s="12" t="s">
        <v>3304</v>
      </c>
      <c r="R749" s="17" t="s">
        <v>3306</v>
      </c>
      <c r="S749" s="13" t="s">
        <v>3308</v>
      </c>
      <c r="T749" s="11"/>
      <c r="U749" s="10" t="str">
        <f>HYPERLINK("https://pbs.twimg.com/profile_images/930099185914990592/QGv-ggmI.jpg","View")</f>
        <v>View</v>
      </c>
    </row>
    <row r="750" spans="1:21" ht="40.799999999999997">
      <c r="A750" s="6">
        <v>43440.605069444442</v>
      </c>
      <c r="B750" s="7" t="str">
        <f>HYPERLINK("https://twitter.com/FJavierLopezM","@FJavierLopezM")</f>
        <v>@FJavierLopezM</v>
      </c>
      <c r="C750" s="8" t="s">
        <v>2612</v>
      </c>
      <c r="D750" s="9" t="s">
        <v>2613</v>
      </c>
      <c r="E750" s="10" t="str">
        <f>HYPERLINK("https://twitter.com/FJavierLopezM/status/1070672028024352770","1070672028024352770")</f>
        <v>1070672028024352770</v>
      </c>
      <c r="F750" s="13" t="s">
        <v>2615</v>
      </c>
      <c r="G750" s="11"/>
      <c r="H750" s="11"/>
      <c r="I750" s="14">
        <v>2</v>
      </c>
      <c r="J750" s="14">
        <v>1</v>
      </c>
      <c r="K750" s="15" t="str">
        <f>HYPERLINK("http://twitter.com/download/iphone","Twitter for iPhone")</f>
        <v>Twitter for iPhone</v>
      </c>
      <c r="L750" s="14">
        <v>8386</v>
      </c>
      <c r="M750" s="14">
        <v>3642</v>
      </c>
      <c r="N750" s="14">
        <v>183</v>
      </c>
      <c r="O750" s="16"/>
      <c r="P750" s="6">
        <v>40115.743611111109</v>
      </c>
      <c r="Q750" s="12" t="s">
        <v>29</v>
      </c>
      <c r="R750" s="17" t="s">
        <v>2620</v>
      </c>
      <c r="S750" s="13" t="s">
        <v>2621</v>
      </c>
      <c r="T750" s="11"/>
      <c r="U750" s="10" t="str">
        <f>HYPERLINK("https://pbs.twimg.com/profile_images/824398315420864512/_xWg6MdC.jpg","View")</f>
        <v>View</v>
      </c>
    </row>
    <row r="751" spans="1:21" ht="40.799999999999997">
      <c r="A751" s="6">
        <v>43440.600624999999</v>
      </c>
      <c r="B751" s="7" t="str">
        <f>HYPERLINK("https://twitter.com/PartidoRepEs","@PartidoRepEs")</f>
        <v>@PartidoRepEs</v>
      </c>
      <c r="C751" s="8" t="s">
        <v>519</v>
      </c>
      <c r="D751" s="9" t="s">
        <v>3311</v>
      </c>
      <c r="E751" s="10" t="str">
        <f>HYPERLINK("https://twitter.com/PartidoRepEs/status/1070670419630440448","1070670419630440448")</f>
        <v>1070670419630440448</v>
      </c>
      <c r="F751" s="13" t="s">
        <v>3313</v>
      </c>
      <c r="G751" s="11"/>
      <c r="H751" s="11"/>
      <c r="I751" s="14">
        <v>0</v>
      </c>
      <c r="J751" s="14">
        <v>0</v>
      </c>
      <c r="K751" s="15" t="str">
        <f>HYPERLINK("http://twitter.com","Twitter Web Client")</f>
        <v>Twitter Web Client</v>
      </c>
      <c r="L751" s="14">
        <v>4366</v>
      </c>
      <c r="M751" s="14">
        <v>4993</v>
      </c>
      <c r="N751" s="14">
        <v>25</v>
      </c>
      <c r="O751" s="16"/>
      <c r="P751" s="6">
        <v>42183.720682870371</v>
      </c>
      <c r="Q751" s="11"/>
      <c r="R751" s="17" t="s">
        <v>523</v>
      </c>
      <c r="S751" s="13" t="s">
        <v>524</v>
      </c>
      <c r="T751" s="11"/>
      <c r="U751" s="10" t="str">
        <f>HYPERLINK("https://pbs.twimg.com/profile_images/615180335417040901/p8IX-96B.jpg","View")</f>
        <v>View</v>
      </c>
    </row>
    <row r="752" spans="1:21" ht="30.6">
      <c r="A752" s="6">
        <v>43440.600358796291</v>
      </c>
      <c r="B752" s="7" t="str">
        <f>HYPERLINK("https://twitter.com/sextaNoticias","@sextaNoticias")</f>
        <v>@sextaNoticias</v>
      </c>
      <c r="C752" s="8" t="s">
        <v>3316</v>
      </c>
      <c r="D752" s="9" t="s">
        <v>3317</v>
      </c>
      <c r="E752" s="10" t="str">
        <f>HYPERLINK("https://twitter.com/sextaNoticias/status/1070670323031441408","1070670323031441408")</f>
        <v>1070670323031441408</v>
      </c>
      <c r="F752" s="13" t="s">
        <v>3318</v>
      </c>
      <c r="G752" s="11"/>
      <c r="H752" s="11"/>
      <c r="I752" s="14">
        <v>3</v>
      </c>
      <c r="J752" s="14">
        <v>4</v>
      </c>
      <c r="K752" s="15" t="str">
        <f>HYPERLINK("http://dogtrack.es","DogTrack_Oficial")</f>
        <v>DogTrack_Oficial</v>
      </c>
      <c r="L752" s="14">
        <v>1112665</v>
      </c>
      <c r="M752" s="14">
        <v>279</v>
      </c>
      <c r="N752" s="14">
        <v>7291</v>
      </c>
      <c r="O752" s="19" t="s">
        <v>42</v>
      </c>
      <c r="P752" s="6">
        <v>40099.614328703705</v>
      </c>
      <c r="Q752" s="11"/>
      <c r="R752" s="17" t="s">
        <v>3319</v>
      </c>
      <c r="S752" s="13" t="s">
        <v>3320</v>
      </c>
      <c r="T752" s="11"/>
      <c r="U752" s="10" t="str">
        <f>HYPERLINK("https://pbs.twimg.com/profile_images/898970208551022592/hh3ITSK-.jpg","View")</f>
        <v>View</v>
      </c>
    </row>
    <row r="753" spans="1:21" ht="51">
      <c r="A753" s="6">
        <v>43440.599537037036</v>
      </c>
      <c r="B753" s="7" t="str">
        <f>HYPERLINK("https://twitter.com/Eloisa32437284","@Eloisa32437284")</f>
        <v>@Eloisa32437284</v>
      </c>
      <c r="C753" s="8" t="s">
        <v>2627</v>
      </c>
      <c r="D753" s="9" t="s">
        <v>39</v>
      </c>
      <c r="E753" s="10" t="str">
        <f>HYPERLINK("https://twitter.com/Eloisa32437284/status/1070670024849965056","1070670024849965056")</f>
        <v>1070670024849965056</v>
      </c>
      <c r="F753" s="13" t="s">
        <v>2630</v>
      </c>
      <c r="G753" s="11"/>
      <c r="H753" s="11"/>
      <c r="I753" s="14">
        <v>0</v>
      </c>
      <c r="J753" s="14">
        <v>0</v>
      </c>
      <c r="K753" s="15" t="str">
        <f>HYPERLINK("http://twitter.com","Twitter Web Client")</f>
        <v>Twitter Web Client</v>
      </c>
      <c r="L753" s="14">
        <v>280</v>
      </c>
      <c r="M753" s="14">
        <v>138</v>
      </c>
      <c r="N753" s="14">
        <v>0</v>
      </c>
      <c r="O753" s="16"/>
      <c r="P753" s="6">
        <v>43310.861747685187</v>
      </c>
      <c r="Q753" s="12" t="s">
        <v>2631</v>
      </c>
      <c r="R753" s="18"/>
      <c r="S753" s="11"/>
      <c r="T753" s="11"/>
      <c r="U753" s="10" t="str">
        <f>HYPERLINK("https://pbs.twimg.com/profile_images/1030569928401866753/YK5DAONV.jpg","View")</f>
        <v>View</v>
      </c>
    </row>
    <row r="754" spans="1:21" ht="20.399999999999999">
      <c r="A754" s="6">
        <v>43440.597500000003</v>
      </c>
      <c r="B754" s="7" t="str">
        <f>HYPERLINK("https://twitter.com/antoniofse","@antoniofse")</f>
        <v>@antoniofse</v>
      </c>
      <c r="C754" s="8" t="s">
        <v>3322</v>
      </c>
      <c r="D754" s="9" t="s">
        <v>3323</v>
      </c>
      <c r="E754" s="10" t="str">
        <f>HYPERLINK("https://twitter.com/antoniofse/status/1070669287227039744","1070669287227039744")</f>
        <v>1070669287227039744</v>
      </c>
      <c r="F754" s="11"/>
      <c r="G754" s="13" t="s">
        <v>3324</v>
      </c>
      <c r="H754" s="11"/>
      <c r="I754" s="14">
        <v>0</v>
      </c>
      <c r="J754" s="14">
        <v>0</v>
      </c>
      <c r="K754" s="15" t="str">
        <f>HYPERLINK("http://twitter.com/download/iphone","Twitter for iPhone")</f>
        <v>Twitter for iPhone</v>
      </c>
      <c r="L754" s="14">
        <v>4414</v>
      </c>
      <c r="M754" s="14">
        <v>4837</v>
      </c>
      <c r="N754" s="14">
        <v>226</v>
      </c>
      <c r="O754" s="16"/>
      <c r="P754" s="6">
        <v>39927.363356481481</v>
      </c>
      <c r="Q754" s="12" t="s">
        <v>29</v>
      </c>
      <c r="R754" s="17" t="s">
        <v>3325</v>
      </c>
      <c r="S754" s="13" t="s">
        <v>3326</v>
      </c>
      <c r="T754" s="11"/>
      <c r="U754" s="10" t="str">
        <f>HYPERLINK("https://pbs.twimg.com/profile_images/951534525204529153/KjravWTA.jpg","View")</f>
        <v>View</v>
      </c>
    </row>
    <row r="755" spans="1:21" ht="40.799999999999997">
      <c r="A755" s="6">
        <v>43440.595856481479</v>
      </c>
      <c r="B755" s="7" t="str">
        <f>HYPERLINK("https://twitter.com/MJulietto","@MJulietto")</f>
        <v>@MJulietto</v>
      </c>
      <c r="C755" s="8" t="s">
        <v>2632</v>
      </c>
      <c r="D755" s="9" t="s">
        <v>2633</v>
      </c>
      <c r="E755" s="10" t="str">
        <f>HYPERLINK("https://twitter.com/MJulietto/status/1070668689467473921","1070668689467473921")</f>
        <v>1070668689467473921</v>
      </c>
      <c r="F755" s="11"/>
      <c r="G755" s="11"/>
      <c r="H755" s="11"/>
      <c r="I755" s="14">
        <v>1</v>
      </c>
      <c r="J755" s="14">
        <v>2</v>
      </c>
      <c r="K755" s="15" t="str">
        <f>HYPERLINK("http://twitter.com","Twitter Web Client")</f>
        <v>Twitter Web Client</v>
      </c>
      <c r="L755" s="14">
        <v>146</v>
      </c>
      <c r="M755" s="14">
        <v>242</v>
      </c>
      <c r="N755" s="14">
        <v>7</v>
      </c>
      <c r="O755" s="16"/>
      <c r="P755" s="6">
        <v>41705.001331018517</v>
      </c>
      <c r="Q755" s="11"/>
      <c r="R755" s="17" t="s">
        <v>2634</v>
      </c>
      <c r="S755" s="11"/>
      <c r="T755" s="11"/>
      <c r="U755" s="10" t="str">
        <f>HYPERLINK("https://pbs.twimg.com/profile_images/441711502031323136/YdKchhlI.jpeg","View")</f>
        <v>View</v>
      </c>
    </row>
    <row r="756" spans="1:21" ht="51">
      <c r="A756" s="6">
        <v>43440.593194444446</v>
      </c>
      <c r="B756" s="7" t="str">
        <f>HYPERLINK("https://twitter.com/CiutadansCs","@CiutadansCs")</f>
        <v>@CiutadansCs</v>
      </c>
      <c r="C756" s="8" t="s">
        <v>2635</v>
      </c>
      <c r="D756" s="9" t="s">
        <v>2636</v>
      </c>
      <c r="E756" s="10" t="str">
        <f>HYPERLINK("https://twitter.com/CiutadansCs/status/1070667725356314630","1070667725356314630")</f>
        <v>1070667725356314630</v>
      </c>
      <c r="F756" s="13" t="s">
        <v>2240</v>
      </c>
      <c r="G756" s="11"/>
      <c r="H756" s="11"/>
      <c r="I756" s="14">
        <v>21</v>
      </c>
      <c r="J756" s="14">
        <v>25</v>
      </c>
      <c r="K756" s="15" t="str">
        <f>HYPERLINK("http://twitter.com/download/android","Twitter for Android")</f>
        <v>Twitter for Android</v>
      </c>
      <c r="L756" s="14">
        <v>21904</v>
      </c>
      <c r="M756" s="14">
        <v>2558</v>
      </c>
      <c r="N756" s="14">
        <v>294</v>
      </c>
      <c r="O756" s="19" t="s">
        <v>42</v>
      </c>
      <c r="P756" s="6">
        <v>41884.461458333331</v>
      </c>
      <c r="Q756" s="12" t="s">
        <v>2638</v>
      </c>
      <c r="R756" s="17" t="s">
        <v>2639</v>
      </c>
      <c r="S756" s="13" t="s">
        <v>822</v>
      </c>
      <c r="T756" s="11"/>
      <c r="U756" s="10" t="str">
        <f>HYPERLINK("https://pbs.twimg.com/profile_images/1053570460867289088/YHy8eYee.png","View")</f>
        <v>View</v>
      </c>
    </row>
    <row r="757" spans="1:21" ht="61.2">
      <c r="A757" s="6">
        <v>43440.59306712963</v>
      </c>
      <c r="B757" s="7" t="str">
        <f>HYPERLINK("https://twitter.com/AliciaDLPC","@AliciaDLPC")</f>
        <v>@AliciaDLPC</v>
      </c>
      <c r="C757" s="8" t="s">
        <v>2643</v>
      </c>
      <c r="D757" s="9" t="s">
        <v>2644</v>
      </c>
      <c r="E757" s="10" t="str">
        <f>HYPERLINK("https://twitter.com/AliciaDLPC/status/1070667680578002944","1070667680578002944")</f>
        <v>1070667680578002944</v>
      </c>
      <c r="F757" s="11"/>
      <c r="G757" s="11"/>
      <c r="H757" s="11"/>
      <c r="I757" s="14">
        <v>0</v>
      </c>
      <c r="J757" s="14">
        <v>0</v>
      </c>
      <c r="K757" s="15" t="str">
        <f>HYPERLINK("https://mobile.twitter.com","Twitter Lite")</f>
        <v>Twitter Lite</v>
      </c>
      <c r="L757" s="14">
        <v>240</v>
      </c>
      <c r="M757" s="14">
        <v>632</v>
      </c>
      <c r="N757" s="14">
        <v>4</v>
      </c>
      <c r="O757" s="16"/>
      <c r="P757" s="6">
        <v>40755.068692129629</v>
      </c>
      <c r="Q757" s="11"/>
      <c r="R757" s="17" t="s">
        <v>2646</v>
      </c>
      <c r="S757" s="11"/>
      <c r="T757" s="11"/>
      <c r="U757" s="10" t="str">
        <f>HYPERLINK("https://pbs.twimg.com/profile_images/2818001706/59fa06c5a459c19bd9fc6ef468b0d509.jpeg","View")</f>
        <v>View</v>
      </c>
    </row>
    <row r="758" spans="1:21" ht="40.799999999999997">
      <c r="A758" s="6">
        <v>43440.592615740738</v>
      </c>
      <c r="B758" s="7" t="str">
        <f>HYPERLINK("https://twitter.com/LibTuit","@LibTuit")</f>
        <v>@LibTuit</v>
      </c>
      <c r="C758" s="8" t="s">
        <v>3330</v>
      </c>
      <c r="D758" s="9" t="s">
        <v>3331</v>
      </c>
      <c r="E758" s="10" t="str">
        <f>HYPERLINK("https://twitter.com/LibTuit/status/1070667515762802688","1070667515762802688")</f>
        <v>1070667515762802688</v>
      </c>
      <c r="F758" s="11"/>
      <c r="G758" s="11"/>
      <c r="H758" s="11"/>
      <c r="I758" s="14">
        <v>3</v>
      </c>
      <c r="J758" s="14">
        <v>7</v>
      </c>
      <c r="K758" s="15" t="str">
        <f>HYPERLINK("http://tapbots.com/tweetbot","Tweetbot for iΟS")</f>
        <v>Tweetbot for iΟS</v>
      </c>
      <c r="L758" s="14">
        <v>424</v>
      </c>
      <c r="M758" s="14">
        <v>57</v>
      </c>
      <c r="N758" s="14">
        <v>12</v>
      </c>
      <c r="O758" s="16"/>
      <c r="P758" s="6">
        <v>41172.810706018521</v>
      </c>
      <c r="Q758" s="12" t="s">
        <v>3334</v>
      </c>
      <c r="R758" s="17" t="s">
        <v>3335</v>
      </c>
      <c r="S758" s="13" t="s">
        <v>3336</v>
      </c>
      <c r="T758" s="11"/>
      <c r="U758" s="10" t="str">
        <f>HYPERLINK("https://pbs.twimg.com/profile_images/959861427296260101/Eg4VUDN3.jpg","View")</f>
        <v>View</v>
      </c>
    </row>
    <row r="759" spans="1:21" ht="51">
      <c r="A759" s="6">
        <v>43440.590069444443</v>
      </c>
      <c r="B759" s="7" t="str">
        <f>HYPERLINK("https://twitter.com/Samurob11","@Samurob11")</f>
        <v>@Samurob11</v>
      </c>
      <c r="C759" s="8" t="s">
        <v>3337</v>
      </c>
      <c r="D759" s="9" t="s">
        <v>3338</v>
      </c>
      <c r="E759" s="10" t="str">
        <f>HYPERLINK("https://twitter.com/Samurob11/status/1070666593636618241","1070666593636618241")</f>
        <v>1070666593636618241</v>
      </c>
      <c r="F759" s="11"/>
      <c r="G759" s="11"/>
      <c r="H759" s="11"/>
      <c r="I759" s="14">
        <v>0</v>
      </c>
      <c r="J759" s="14">
        <v>0</v>
      </c>
      <c r="K759" s="15" t="str">
        <f t="shared" ref="K759:K760" si="143">HYPERLINK("http://twitter.com/download/android","Twitter for Android")</f>
        <v>Twitter for Android</v>
      </c>
      <c r="L759" s="14">
        <v>16</v>
      </c>
      <c r="M759" s="14">
        <v>116</v>
      </c>
      <c r="N759" s="14">
        <v>0</v>
      </c>
      <c r="O759" s="16"/>
      <c r="P759" s="6">
        <v>43007.836076388892</v>
      </c>
      <c r="Q759" s="11"/>
      <c r="R759" s="18"/>
      <c r="S759" s="11"/>
      <c r="T759" s="11"/>
      <c r="U759" s="19" t="s">
        <v>629</v>
      </c>
    </row>
    <row r="760" spans="1:21" ht="51">
      <c r="A760" s="6">
        <v>43440.58966435185</v>
      </c>
      <c r="B760" s="7" t="str">
        <f>HYPERLINK("https://twitter.com/JulioCorts16","@JulioCorts16")</f>
        <v>@JulioCorts16</v>
      </c>
      <c r="C760" s="8" t="s">
        <v>2647</v>
      </c>
      <c r="D760" s="9" t="s">
        <v>2648</v>
      </c>
      <c r="E760" s="10" t="str">
        <f>HYPERLINK("https://twitter.com/JulioCorts16/status/1070666445258928129","1070666445258928129")</f>
        <v>1070666445258928129</v>
      </c>
      <c r="F760" s="11"/>
      <c r="G760" s="11"/>
      <c r="H760" s="11"/>
      <c r="I760" s="14">
        <v>0</v>
      </c>
      <c r="J760" s="14">
        <v>0</v>
      </c>
      <c r="K760" s="15" t="str">
        <f t="shared" si="143"/>
        <v>Twitter for Android</v>
      </c>
      <c r="L760" s="14">
        <v>9</v>
      </c>
      <c r="M760" s="14">
        <v>68</v>
      </c>
      <c r="N760" s="14">
        <v>0</v>
      </c>
      <c r="O760" s="16"/>
      <c r="P760" s="6">
        <v>43397.942280092597</v>
      </c>
      <c r="Q760" s="11"/>
      <c r="R760" s="17" t="s">
        <v>2650</v>
      </c>
      <c r="S760" s="11"/>
      <c r="T760" s="11"/>
      <c r="U760" s="10" t="str">
        <f>HYPERLINK("https://pbs.twimg.com/profile_images/1055197263633543168/FozGhJYw.jpg","View")</f>
        <v>View</v>
      </c>
    </row>
    <row r="761" spans="1:21" ht="30.6">
      <c r="A761" s="6">
        <v>43440.588888888888</v>
      </c>
      <c r="B761" s="7" t="str">
        <f>HYPERLINK("https://twitter.com/eldiarioes","@eldiarioes")</f>
        <v>@eldiarioes</v>
      </c>
      <c r="C761" s="21" t="s">
        <v>1547</v>
      </c>
      <c r="D761" s="9" t="s">
        <v>3342</v>
      </c>
      <c r="E761" s="10" t="str">
        <f>HYPERLINK("https://twitter.com/eldiarioes/status/1070666165016498176","1070666165016498176")</f>
        <v>1070666165016498176</v>
      </c>
      <c r="F761" s="13" t="s">
        <v>3343</v>
      </c>
      <c r="G761" s="13" t="s">
        <v>3344</v>
      </c>
      <c r="H761" s="11"/>
      <c r="I761" s="14">
        <v>28</v>
      </c>
      <c r="J761" s="14">
        <v>38</v>
      </c>
      <c r="K761" s="15" t="str">
        <f>HYPERLINK("https://about.twitter.com/products/tweetdeck","TweetDeck")</f>
        <v>TweetDeck</v>
      </c>
      <c r="L761" s="14">
        <v>940167</v>
      </c>
      <c r="M761" s="14">
        <v>456</v>
      </c>
      <c r="N761" s="14">
        <v>11261</v>
      </c>
      <c r="O761" s="19" t="s">
        <v>42</v>
      </c>
      <c r="P761" s="6">
        <v>40992.839189814811</v>
      </c>
      <c r="Q761" s="11"/>
      <c r="R761" s="17" t="s">
        <v>1550</v>
      </c>
      <c r="S761" s="13" t="s">
        <v>1551</v>
      </c>
      <c r="T761" s="11"/>
      <c r="U761" s="10" t="str">
        <f>HYPERLINK("https://pbs.twimg.com/profile_images/1016600645292511232/eYIkIK2s.jpg","View")</f>
        <v>View</v>
      </c>
    </row>
    <row r="762" spans="1:21" ht="51">
      <c r="A762" s="6">
        <v>43440.587476851855</v>
      </c>
      <c r="B762" s="7" t="str">
        <f>HYPERLINK("https://twitter.com/cristodelotero","@cristodelotero")</f>
        <v>@cristodelotero</v>
      </c>
      <c r="C762" s="8" t="s">
        <v>2653</v>
      </c>
      <c r="D762" s="9" t="s">
        <v>2654</v>
      </c>
      <c r="E762" s="10" t="str">
        <f>HYPERLINK("https://twitter.com/cristodelotero/status/1070665654867542017","1070665654867542017")</f>
        <v>1070665654867542017</v>
      </c>
      <c r="F762" s="13" t="s">
        <v>2655</v>
      </c>
      <c r="G762" s="11"/>
      <c r="H762" s="11"/>
      <c r="I762" s="14">
        <v>0</v>
      </c>
      <c r="J762" s="14">
        <v>0</v>
      </c>
      <c r="K762" s="15" t="str">
        <f>HYPERLINK("http://twitter.com/download/android","Twitter for Android")</f>
        <v>Twitter for Android</v>
      </c>
      <c r="L762" s="14">
        <v>193</v>
      </c>
      <c r="M762" s="14">
        <v>370</v>
      </c>
      <c r="N762" s="14">
        <v>3</v>
      </c>
      <c r="O762" s="16"/>
      <c r="P762" s="6">
        <v>42316.001388888893</v>
      </c>
      <c r="Q762" s="12" t="s">
        <v>2659</v>
      </c>
      <c r="R762" s="17" t="s">
        <v>2660</v>
      </c>
      <c r="S762" s="11"/>
      <c r="T762" s="11"/>
      <c r="U762" s="10" t="str">
        <f>HYPERLINK("https://pbs.twimg.com/profile_images/1048298843346034688/WZoq8o_r.jpg","View")</f>
        <v>View</v>
      </c>
    </row>
    <row r="763" spans="1:21" ht="40.799999999999997">
      <c r="A763" s="6">
        <v>43440.587210648147</v>
      </c>
      <c r="B763" s="7" t="str">
        <f>HYPERLINK("https://twitter.com/MiguelAracil","@MiguelAracil")</f>
        <v>@MiguelAracil</v>
      </c>
      <c r="C763" s="8" t="s">
        <v>3350</v>
      </c>
      <c r="D763" s="9" t="s">
        <v>3351</v>
      </c>
      <c r="E763" s="10" t="str">
        <f>HYPERLINK("https://twitter.com/MiguelAracil/status/1070665558343983104","1070665558343983104")</f>
        <v>1070665558343983104</v>
      </c>
      <c r="F763" s="13" t="s">
        <v>2240</v>
      </c>
      <c r="G763" s="11"/>
      <c r="H763" s="11"/>
      <c r="I763" s="14">
        <v>0</v>
      </c>
      <c r="J763" s="14">
        <v>0</v>
      </c>
      <c r="K763" s="15" t="str">
        <f>HYPERLINK("http://twitter.com","Twitter Web Client")</f>
        <v>Twitter Web Client</v>
      </c>
      <c r="L763" s="14">
        <v>1051</v>
      </c>
      <c r="M763" s="14">
        <v>236</v>
      </c>
      <c r="N763" s="14">
        <v>30</v>
      </c>
      <c r="O763" s="16"/>
      <c r="P763" s="6">
        <v>40522.758773148147</v>
      </c>
      <c r="Q763" s="12" t="s">
        <v>3352</v>
      </c>
      <c r="R763" s="17" t="s">
        <v>3353</v>
      </c>
      <c r="S763" s="13" t="s">
        <v>3354</v>
      </c>
      <c r="T763" s="11"/>
      <c r="U763" s="10" t="str">
        <f>HYPERLINK("https://pbs.twimg.com/profile_images/1187301615/aracil.jpg","View")</f>
        <v>View</v>
      </c>
    </row>
    <row r="764" spans="1:21" ht="40.799999999999997">
      <c r="A764" s="6">
        <v>43440.587060185186</v>
      </c>
      <c r="B764" s="7" t="str">
        <f>HYPERLINK("https://twitter.com/Saramurcia","@Saramurcia")</f>
        <v>@Saramurcia</v>
      </c>
      <c r="C764" s="8" t="s">
        <v>3357</v>
      </c>
      <c r="D764" s="9" t="s">
        <v>3358</v>
      </c>
      <c r="E764" s="10" t="str">
        <f>HYPERLINK("https://twitter.com/Saramurcia/status/1070665501448331267","1070665501448331267")</f>
        <v>1070665501448331267</v>
      </c>
      <c r="F764" s="11"/>
      <c r="G764" s="11"/>
      <c r="H764" s="11"/>
      <c r="I764" s="14">
        <v>10</v>
      </c>
      <c r="J764" s="14">
        <v>11</v>
      </c>
      <c r="K764" s="15" t="str">
        <f t="shared" ref="K764:K765" si="144">HYPERLINK("http://twitter.com/download/iphone","Twitter for iPhone")</f>
        <v>Twitter for iPhone</v>
      </c>
      <c r="L764" s="14">
        <v>3541</v>
      </c>
      <c r="M764" s="14">
        <v>3661</v>
      </c>
      <c r="N764" s="14">
        <v>49</v>
      </c>
      <c r="O764" s="16"/>
      <c r="P764" s="6">
        <v>40000.341134259259</v>
      </c>
      <c r="Q764" s="12" t="s">
        <v>137</v>
      </c>
      <c r="R764" s="17" t="s">
        <v>3360</v>
      </c>
      <c r="S764" s="13" t="s">
        <v>3361</v>
      </c>
      <c r="T764" s="11"/>
      <c r="U764" s="10" t="str">
        <f>HYPERLINK("https://pbs.twimg.com/profile_images/743354671595585536/iIi9-QNu.jpg","View")</f>
        <v>View</v>
      </c>
    </row>
    <row r="765" spans="1:21" ht="40.799999999999997">
      <c r="A765" s="6">
        <v>43440.586886574078</v>
      </c>
      <c r="B765" s="7" t="str">
        <f>HYPERLINK("https://twitter.com/EduSanRe","@EduSanRe")</f>
        <v>@EduSanRe</v>
      </c>
      <c r="C765" s="8" t="s">
        <v>2663</v>
      </c>
      <c r="D765" s="9" t="s">
        <v>2664</v>
      </c>
      <c r="E765" s="10" t="str">
        <f>HYPERLINK("https://twitter.com/EduSanRe/status/1070665438722428928","1070665438722428928")</f>
        <v>1070665438722428928</v>
      </c>
      <c r="F765" s="11"/>
      <c r="G765" s="11"/>
      <c r="H765" s="11"/>
      <c r="I765" s="14">
        <v>0</v>
      </c>
      <c r="J765" s="14">
        <v>1</v>
      </c>
      <c r="K765" s="15" t="str">
        <f t="shared" si="144"/>
        <v>Twitter for iPhone</v>
      </c>
      <c r="L765" s="14">
        <v>438</v>
      </c>
      <c r="M765" s="14">
        <v>240</v>
      </c>
      <c r="N765" s="14">
        <v>4</v>
      </c>
      <c r="O765" s="16"/>
      <c r="P765" s="6">
        <v>40321.703796296293</v>
      </c>
      <c r="Q765" s="12" t="s">
        <v>2631</v>
      </c>
      <c r="R765" s="17" t="s">
        <v>2670</v>
      </c>
      <c r="S765" s="11"/>
      <c r="T765" s="11"/>
      <c r="U765" s="10" t="str">
        <f>HYPERLINK("https://pbs.twimg.com/profile_images/1053239646757535749/yqsTXVPI.jpg","View")</f>
        <v>View</v>
      </c>
    </row>
    <row r="766" spans="1:21" ht="30.6">
      <c r="A766" s="6">
        <v>43440.584722222222</v>
      </c>
      <c r="B766" s="7" t="str">
        <f>HYPERLINK("https://twitter.com/Elias_Tarsis","@Elias_Tarsis")</f>
        <v>@Elias_Tarsis</v>
      </c>
      <c r="C766" s="8" t="s">
        <v>3365</v>
      </c>
      <c r="D766" s="9" t="s">
        <v>3366</v>
      </c>
      <c r="E766" s="10" t="str">
        <f>HYPERLINK("https://twitter.com/Elias_Tarsis/status/1070664655050301447","1070664655050301447")</f>
        <v>1070664655050301447</v>
      </c>
      <c r="F766" s="11"/>
      <c r="G766" s="11"/>
      <c r="H766" s="11"/>
      <c r="I766" s="14">
        <v>0</v>
      </c>
      <c r="J766" s="14">
        <v>1</v>
      </c>
      <c r="K766" s="15" t="str">
        <f>HYPERLINK("http://twitter.com","Twitter Web Client")</f>
        <v>Twitter Web Client</v>
      </c>
      <c r="L766" s="14">
        <v>727</v>
      </c>
      <c r="M766" s="14">
        <v>289</v>
      </c>
      <c r="N766" s="14">
        <v>24</v>
      </c>
      <c r="O766" s="16"/>
      <c r="P766" s="6">
        <v>40572.055960648147</v>
      </c>
      <c r="Q766" s="12" t="s">
        <v>29</v>
      </c>
      <c r="R766" s="17" t="s">
        <v>3368</v>
      </c>
      <c r="S766" s="13" t="s">
        <v>3369</v>
      </c>
      <c r="T766" s="11"/>
      <c r="U766" s="10" t="str">
        <f>HYPERLINK("https://pbs.twimg.com/profile_images/1046750672908095490/lPJVVcxc.jpg","View")</f>
        <v>View</v>
      </c>
    </row>
    <row r="767" spans="1:21" ht="51">
      <c r="A767" s="6">
        <v>43440.584513888884</v>
      </c>
      <c r="B767" s="7" t="str">
        <f>HYPERLINK("https://twitter.com/Sevilla24H","@Sevilla24H")</f>
        <v>@Sevilla24H</v>
      </c>
      <c r="C767" s="8" t="s">
        <v>3370</v>
      </c>
      <c r="D767" s="9" t="s">
        <v>3371</v>
      </c>
      <c r="E767" s="10" t="str">
        <f>HYPERLINK("https://twitter.com/Sevilla24H/status/1070664580240691201","1070664580240691201")</f>
        <v>1070664580240691201</v>
      </c>
      <c r="F767" s="13" t="s">
        <v>3373</v>
      </c>
      <c r="G767" s="11"/>
      <c r="H767" s="11"/>
      <c r="I767" s="14">
        <v>0</v>
      </c>
      <c r="J767" s="14">
        <v>0</v>
      </c>
      <c r="K767" s="15" t="str">
        <f>HYPERLINK("https://ifttt.com","IFTTT")</f>
        <v>IFTTT</v>
      </c>
      <c r="L767" s="14">
        <v>511</v>
      </c>
      <c r="M767" s="14">
        <v>750</v>
      </c>
      <c r="N767" s="14">
        <v>11</v>
      </c>
      <c r="O767" s="16"/>
      <c r="P767" s="6">
        <v>41294.599583333329</v>
      </c>
      <c r="Q767" s="12" t="s">
        <v>3374</v>
      </c>
      <c r="R767" s="17" t="s">
        <v>3375</v>
      </c>
      <c r="S767" s="13" t="s">
        <v>3376</v>
      </c>
      <c r="T767" s="11"/>
      <c r="U767" s="10" t="str">
        <f>HYPERLINK("https://pbs.twimg.com/profile_images/833777334108975104/fgeZLBXg.jpg","View")</f>
        <v>View</v>
      </c>
    </row>
    <row r="768" spans="1:21" ht="40.799999999999997">
      <c r="A768" s="6">
        <v>43440.584189814814</v>
      </c>
      <c r="B768" s="7" t="str">
        <f>HYPERLINK("https://twitter.com/nachoprendes","@nachoprendes")</f>
        <v>@nachoprendes</v>
      </c>
      <c r="C768" s="8" t="s">
        <v>2673</v>
      </c>
      <c r="D768" s="9" t="s">
        <v>2674</v>
      </c>
      <c r="E768" s="10" t="str">
        <f>HYPERLINK("https://twitter.com/nachoprendes/status/1070664462204633089","1070664462204633089")</f>
        <v>1070664462204633089</v>
      </c>
      <c r="F768" s="13" t="s">
        <v>2011</v>
      </c>
      <c r="G768" s="11"/>
      <c r="H768" s="11"/>
      <c r="I768" s="14">
        <v>21</v>
      </c>
      <c r="J768" s="14">
        <v>30</v>
      </c>
      <c r="K768" s="15" t="str">
        <f>HYPERLINK("http://twitter.com/download/iphone","Twitter for iPhone")</f>
        <v>Twitter for iPhone</v>
      </c>
      <c r="L768" s="14">
        <v>6950</v>
      </c>
      <c r="M768" s="14">
        <v>859</v>
      </c>
      <c r="N768" s="14">
        <v>205</v>
      </c>
      <c r="O768" s="19" t="s">
        <v>42</v>
      </c>
      <c r="P768" s="6">
        <v>40624.967951388891</v>
      </c>
      <c r="Q768" s="12" t="s">
        <v>41</v>
      </c>
      <c r="R768" s="17" t="s">
        <v>2677</v>
      </c>
      <c r="S768" s="13" t="s">
        <v>1587</v>
      </c>
      <c r="T768" s="11"/>
      <c r="U768" s="10" t="str">
        <f>HYPERLINK("https://pbs.twimg.com/profile_images/969260677222273024/E-aqv_PP.jpg","View")</f>
        <v>View</v>
      </c>
    </row>
    <row r="769" spans="1:21" ht="40.799999999999997">
      <c r="A769" s="6">
        <v>43440.584027777775</v>
      </c>
      <c r="B769" s="7" t="str">
        <f>HYPERLINK("https://twitter.com/bitMomentum","@bitMomentum")</f>
        <v>@bitMomentum</v>
      </c>
      <c r="C769" s="8" t="s">
        <v>1889</v>
      </c>
      <c r="D769" s="9" t="s">
        <v>2678</v>
      </c>
      <c r="E769" s="10" t="str">
        <f>HYPERLINK("https://twitter.com/bitMomentum/status/1070664402423201794","1070664402423201794")</f>
        <v>1070664402423201794</v>
      </c>
      <c r="F769" s="11"/>
      <c r="G769" s="11"/>
      <c r="H769" s="11"/>
      <c r="I769" s="14">
        <v>0</v>
      </c>
      <c r="J769" s="14">
        <v>1</v>
      </c>
      <c r="K769" s="15" t="str">
        <f>HYPERLINK("http://www.bitmomentum.com","bitMomentum Bot")</f>
        <v>bitMomentum Bot</v>
      </c>
      <c r="L769" s="14">
        <v>10254</v>
      </c>
      <c r="M769" s="14">
        <v>1059</v>
      </c>
      <c r="N769" s="14">
        <v>263</v>
      </c>
      <c r="O769" s="16"/>
      <c r="P769" s="6">
        <v>41608.667511574073</v>
      </c>
      <c r="Q769" s="11"/>
      <c r="R769" s="17" t="s">
        <v>1897</v>
      </c>
      <c r="S769" s="13" t="s">
        <v>1898</v>
      </c>
      <c r="T769" s="11"/>
      <c r="U769" s="10" t="str">
        <f>HYPERLINK("https://pbs.twimg.com/profile_images/378800000862185241/20ij2H3u.png","View")</f>
        <v>View</v>
      </c>
    </row>
    <row r="770" spans="1:21" ht="30.6">
      <c r="A770" s="6">
        <v>43440.583333333328</v>
      </c>
      <c r="B770" s="7" t="str">
        <f>HYPERLINK("https://twitter.com/AquiEuropa","@AquiEuropa")</f>
        <v>@AquiEuropa</v>
      </c>
      <c r="C770" s="8" t="s">
        <v>2684</v>
      </c>
      <c r="D770" s="9" t="s">
        <v>2685</v>
      </c>
      <c r="E770" s="10" t="str">
        <f>HYPERLINK("https://twitter.com/AquiEuropa/status/1070664153075863553","1070664153075863553")</f>
        <v>1070664153075863553</v>
      </c>
      <c r="F770" s="13" t="s">
        <v>2686</v>
      </c>
      <c r="G770" s="13" t="s">
        <v>2687</v>
      </c>
      <c r="H770" s="11"/>
      <c r="I770" s="14">
        <v>0</v>
      </c>
      <c r="J770" s="14">
        <v>0</v>
      </c>
      <c r="K770" s="15" t="str">
        <f>HYPERLINK("https://about.twitter.com/products/tweetdeck","TweetDeck")</f>
        <v>TweetDeck</v>
      </c>
      <c r="L770" s="14">
        <v>3099</v>
      </c>
      <c r="M770" s="14">
        <v>606</v>
      </c>
      <c r="N770" s="14">
        <v>164</v>
      </c>
      <c r="O770" s="16"/>
      <c r="P770" s="6">
        <v>40701.530972222223</v>
      </c>
      <c r="Q770" s="12" t="s">
        <v>2688</v>
      </c>
      <c r="R770" s="17" t="s">
        <v>2689</v>
      </c>
      <c r="S770" s="13" t="s">
        <v>2690</v>
      </c>
      <c r="T770" s="11"/>
      <c r="U770" s="10" t="str">
        <f>HYPERLINK("https://pbs.twimg.com/profile_images/973118361075945472/FNymDlGr.jpg","View")</f>
        <v>View</v>
      </c>
    </row>
    <row r="771" spans="1:21" ht="51">
      <c r="A771" s="6">
        <v>43440.578796296293</v>
      </c>
      <c r="B771" s="7" t="str">
        <f>HYPERLINK("https://twitter.com/OsitoDelDemonio","@OsitoDelDemonio")</f>
        <v>@OsitoDelDemonio</v>
      </c>
      <c r="C771" s="8" t="s">
        <v>2691</v>
      </c>
      <c r="D771" s="9" t="s">
        <v>2692</v>
      </c>
      <c r="E771" s="10" t="str">
        <f>HYPERLINK("https://twitter.com/OsitoDelDemonio/status/1070662507709247488","1070662507709247488")</f>
        <v>1070662507709247488</v>
      </c>
      <c r="F771" s="13" t="s">
        <v>2693</v>
      </c>
      <c r="G771" s="11"/>
      <c r="H771" s="11"/>
      <c r="I771" s="14">
        <v>0</v>
      </c>
      <c r="J771" s="14">
        <v>0</v>
      </c>
      <c r="K771" s="15" t="str">
        <f t="shared" ref="K771:K772" si="145">HYPERLINK("http://twitter.com/download/android","Twitter for Android")</f>
        <v>Twitter for Android</v>
      </c>
      <c r="L771" s="14">
        <v>28</v>
      </c>
      <c r="M771" s="14">
        <v>43</v>
      </c>
      <c r="N771" s="14">
        <v>0</v>
      </c>
      <c r="O771" s="16"/>
      <c r="P771" s="6">
        <v>42755.49600694445</v>
      </c>
      <c r="Q771" s="11"/>
      <c r="R771" s="18"/>
      <c r="S771" s="11"/>
      <c r="T771" s="11"/>
      <c r="U771" s="10" t="str">
        <f>HYPERLINK("https://pbs.twimg.com/profile_images/1066269568455315456/hzZsv6Ca.jpg","View")</f>
        <v>View</v>
      </c>
    </row>
    <row r="772" spans="1:21" ht="61.2">
      <c r="A772" s="6">
        <v>43440.577291666668</v>
      </c>
      <c r="B772" s="7" t="str">
        <f>HYPERLINK("https://twitter.com/A_Espinosa_","@A_Espinosa_")</f>
        <v>@A_Espinosa_</v>
      </c>
      <c r="C772" s="8" t="s">
        <v>2696</v>
      </c>
      <c r="D772" s="9" t="s">
        <v>2699</v>
      </c>
      <c r="E772" s="10" t="str">
        <f>HYPERLINK("https://twitter.com/A_Espinosa_/status/1070661961275375616","1070661961275375616")</f>
        <v>1070661961275375616</v>
      </c>
      <c r="F772" s="11"/>
      <c r="G772" s="13" t="s">
        <v>2700</v>
      </c>
      <c r="H772" s="11"/>
      <c r="I772" s="14">
        <v>0</v>
      </c>
      <c r="J772" s="14">
        <v>1</v>
      </c>
      <c r="K772" s="15" t="str">
        <f t="shared" si="145"/>
        <v>Twitter for Android</v>
      </c>
      <c r="L772" s="14">
        <v>1720</v>
      </c>
      <c r="M772" s="14">
        <v>111</v>
      </c>
      <c r="N772" s="14">
        <v>53</v>
      </c>
      <c r="O772" s="16"/>
      <c r="P772" s="6">
        <v>42326.816793981481</v>
      </c>
      <c r="Q772" s="12" t="s">
        <v>137</v>
      </c>
      <c r="R772" s="17" t="s">
        <v>2701</v>
      </c>
      <c r="S772" s="13" t="s">
        <v>2702</v>
      </c>
      <c r="T772" s="11"/>
      <c r="U772" s="10" t="str">
        <f>HYPERLINK("https://pbs.twimg.com/profile_images/1063524022820966400/GieW5zMo.jpg","View")</f>
        <v>View</v>
      </c>
    </row>
    <row r="773" spans="1:21" ht="51">
      <c r="A773" s="6">
        <v>43440.577256944445</v>
      </c>
      <c r="B773" s="7" t="str">
        <f>HYPERLINK("https://twitter.com/650_Fer","@650_Fer")</f>
        <v>@650_Fer</v>
      </c>
      <c r="C773" s="8" t="s">
        <v>1444</v>
      </c>
      <c r="D773" s="9" t="s">
        <v>39</v>
      </c>
      <c r="E773" s="10" t="str">
        <f>HYPERLINK("https://twitter.com/650_Fer/status/1070661948444995584","1070661948444995584")</f>
        <v>1070661948444995584</v>
      </c>
      <c r="F773" s="13" t="s">
        <v>2704</v>
      </c>
      <c r="G773" s="11"/>
      <c r="H773" s="11"/>
      <c r="I773" s="14">
        <v>0</v>
      </c>
      <c r="J773" s="14">
        <v>0</v>
      </c>
      <c r="K773" s="15" t="str">
        <f t="shared" ref="K773:K774" si="146">HYPERLINK("http://twitter.com","Twitter Web Client")</f>
        <v>Twitter Web Client</v>
      </c>
      <c r="L773" s="14">
        <v>310</v>
      </c>
      <c r="M773" s="14">
        <v>658</v>
      </c>
      <c r="N773" s="14">
        <v>4</v>
      </c>
      <c r="O773" s="16"/>
      <c r="P773" s="6">
        <v>41725.959502314814</v>
      </c>
      <c r="Q773" s="12" t="s">
        <v>137</v>
      </c>
      <c r="R773" s="17" t="s">
        <v>2707</v>
      </c>
      <c r="S773" s="11"/>
      <c r="T773" s="11"/>
      <c r="U773" s="10" t="str">
        <f>HYPERLINK("https://pbs.twimg.com/profile_images/981997582544187394/n3qDDoQA.jpg","View")</f>
        <v>View</v>
      </c>
    </row>
    <row r="774" spans="1:21" ht="20.399999999999999">
      <c r="A774" s="6">
        <v>43440.577083333337</v>
      </c>
      <c r="B774" s="7" t="str">
        <f>HYPERLINK("https://twitter.com/NataC40","@NataC40")</f>
        <v>@NataC40</v>
      </c>
      <c r="C774" s="8" t="s">
        <v>3392</v>
      </c>
      <c r="D774" s="9" t="s">
        <v>3393</v>
      </c>
      <c r="E774" s="10" t="str">
        <f>HYPERLINK("https://twitter.com/NataC40/status/1070661889137500166","1070661889137500166")</f>
        <v>1070661889137500166</v>
      </c>
      <c r="F774" s="13" t="s">
        <v>3396</v>
      </c>
      <c r="G774" s="11"/>
      <c r="H774" s="11"/>
      <c r="I774" s="14">
        <v>0</v>
      </c>
      <c r="J774" s="14">
        <v>0</v>
      </c>
      <c r="K774" s="15" t="str">
        <f t="shared" si="146"/>
        <v>Twitter Web Client</v>
      </c>
      <c r="L774" s="14">
        <v>856</v>
      </c>
      <c r="M774" s="14">
        <v>1284</v>
      </c>
      <c r="N774" s="14">
        <v>30</v>
      </c>
      <c r="O774" s="16"/>
      <c r="P774" s="6">
        <v>40752.914143518516</v>
      </c>
      <c r="Q774" s="12" t="s">
        <v>29</v>
      </c>
      <c r="R774" s="18"/>
      <c r="S774" s="13" t="s">
        <v>3397</v>
      </c>
      <c r="T774" s="11"/>
      <c r="U774" s="10" t="str">
        <f>HYPERLINK("https://pbs.twimg.com/profile_images/1651129221/19540_1269559713426_1662840659_641834_5949201_n.jpg","View")</f>
        <v>View</v>
      </c>
    </row>
    <row r="775" spans="1:21" ht="30.6">
      <c r="A775" s="6">
        <v>43440.576805555553</v>
      </c>
      <c r="B775" s="7" t="str">
        <f>HYPERLINK("https://twitter.com/franchescorubio","@franchescorubio")</f>
        <v>@franchescorubio</v>
      </c>
      <c r="C775" s="8" t="s">
        <v>2708</v>
      </c>
      <c r="D775" s="9" t="s">
        <v>2709</v>
      </c>
      <c r="E775" s="10" t="str">
        <f>HYPERLINK("https://twitter.com/franchescorubio/status/1070661787425611776","1070661787425611776")</f>
        <v>1070661787425611776</v>
      </c>
      <c r="F775" s="12" t="s">
        <v>1244</v>
      </c>
      <c r="G775" s="11"/>
      <c r="H775" s="11"/>
      <c r="I775" s="14">
        <v>0</v>
      </c>
      <c r="J775" s="14">
        <v>0</v>
      </c>
      <c r="K775" s="15" t="str">
        <f t="shared" ref="K775:K777" si="147">HYPERLINK("http://twitter.com/download/android","Twitter for Android")</f>
        <v>Twitter for Android</v>
      </c>
      <c r="L775" s="14">
        <v>488</v>
      </c>
      <c r="M775" s="14">
        <v>678</v>
      </c>
      <c r="N775" s="14">
        <v>6</v>
      </c>
      <c r="O775" s="16"/>
      <c r="P775" s="6">
        <v>40766.73060185185</v>
      </c>
      <c r="Q775" s="12" t="s">
        <v>2710</v>
      </c>
      <c r="R775" s="17" t="s">
        <v>2711</v>
      </c>
      <c r="S775" s="11"/>
      <c r="T775" s="11"/>
      <c r="U775" s="10" t="str">
        <f>HYPERLINK("https://pbs.twimg.com/profile_images/1068520536290975747/XSFqzqjO.jpg","View")</f>
        <v>View</v>
      </c>
    </row>
    <row r="776" spans="1:21" ht="51">
      <c r="A776" s="6">
        <v>43440.576249999998</v>
      </c>
      <c r="B776" s="7" t="str">
        <f>HYPERLINK("https://twitter.com/pergarpi","@pergarpi")</f>
        <v>@pergarpi</v>
      </c>
      <c r="C776" s="8" t="s">
        <v>2712</v>
      </c>
      <c r="D776" s="9" t="s">
        <v>2713</v>
      </c>
      <c r="E776" s="10" t="str">
        <f>HYPERLINK("https://twitter.com/pergarpi/status/1070661584886861824","1070661584886861824")</f>
        <v>1070661584886861824</v>
      </c>
      <c r="F776" s="11"/>
      <c r="G776" s="11"/>
      <c r="H776" s="11"/>
      <c r="I776" s="14">
        <v>0</v>
      </c>
      <c r="J776" s="14">
        <v>1</v>
      </c>
      <c r="K776" s="15" t="str">
        <f t="shared" si="147"/>
        <v>Twitter for Android</v>
      </c>
      <c r="L776" s="14">
        <v>805</v>
      </c>
      <c r="M776" s="14">
        <v>1463</v>
      </c>
      <c r="N776" s="14">
        <v>14</v>
      </c>
      <c r="O776" s="16"/>
      <c r="P776" s="6">
        <v>41635.422430555554</v>
      </c>
      <c r="Q776" s="12" t="s">
        <v>2714</v>
      </c>
      <c r="R776" s="17" t="s">
        <v>2715</v>
      </c>
      <c r="S776" s="11"/>
      <c r="T776" s="11"/>
      <c r="U776" s="10" t="str">
        <f>HYPERLINK("https://pbs.twimg.com/profile_images/1039481741512200194/Qz2Zl8Uq.jpg","View")</f>
        <v>View</v>
      </c>
    </row>
    <row r="777" spans="1:21" ht="20.399999999999999">
      <c r="A777" s="6">
        <v>43440.575671296298</v>
      </c>
      <c r="B777" s="7" t="str">
        <f>HYPERLINK("https://twitter.com/CsAlmeria_Prov","@CsAlmeria_Prov")</f>
        <v>@CsAlmeria_Prov</v>
      </c>
      <c r="C777" s="8" t="s">
        <v>2717</v>
      </c>
      <c r="D777" s="9" t="s">
        <v>2718</v>
      </c>
      <c r="E777" s="10" t="str">
        <f>HYPERLINK("https://twitter.com/CsAlmeria_Prov/status/1070661377537265664","1070661377537265664")</f>
        <v>1070661377537265664</v>
      </c>
      <c r="F777" s="13" t="s">
        <v>1645</v>
      </c>
      <c r="G777" s="13" t="s">
        <v>2720</v>
      </c>
      <c r="H777" s="11"/>
      <c r="I777" s="14">
        <v>8</v>
      </c>
      <c r="J777" s="14">
        <v>10</v>
      </c>
      <c r="K777" s="15" t="str">
        <f t="shared" si="147"/>
        <v>Twitter for Android</v>
      </c>
      <c r="L777" s="14">
        <v>298</v>
      </c>
      <c r="M777" s="14">
        <v>337</v>
      </c>
      <c r="N777" s="14">
        <v>1</v>
      </c>
      <c r="O777" s="16"/>
      <c r="P777" s="6">
        <v>43201.705914351856</v>
      </c>
      <c r="Q777" s="11"/>
      <c r="R777" s="17" t="s">
        <v>2721</v>
      </c>
      <c r="S777" s="11"/>
      <c r="T777" s="11"/>
      <c r="U777" s="10" t="str">
        <f>HYPERLINK("https://pbs.twimg.com/profile_images/1058683424377061376/uvZc8UTf.jpg","View")</f>
        <v>View</v>
      </c>
    </row>
    <row r="778" spans="1:21" ht="71.400000000000006">
      <c r="A778" s="6">
        <v>43440.574733796297</v>
      </c>
      <c r="B778" s="7" t="str">
        <f>HYPERLINK("https://twitter.com/david_deivis","@david_deivis")</f>
        <v>@david_deivis</v>
      </c>
      <c r="C778" s="8" t="s">
        <v>2722</v>
      </c>
      <c r="D778" s="9" t="s">
        <v>2723</v>
      </c>
      <c r="E778" s="10" t="str">
        <f>HYPERLINK("https://twitter.com/david_deivis/status/1070661035533717504","1070661035533717504")</f>
        <v>1070661035533717504</v>
      </c>
      <c r="F778" s="12" t="s">
        <v>2724</v>
      </c>
      <c r="G778" s="11"/>
      <c r="H778" s="11"/>
      <c r="I778" s="14">
        <v>2</v>
      </c>
      <c r="J778" s="14">
        <v>4</v>
      </c>
      <c r="K778" s="15" t="str">
        <f>HYPERLINK("http://twitter.com/download/iphone","Twitter for iPhone")</f>
        <v>Twitter for iPhone</v>
      </c>
      <c r="L778" s="14">
        <v>555</v>
      </c>
      <c r="M778" s="14">
        <v>935</v>
      </c>
      <c r="N778" s="14">
        <v>4</v>
      </c>
      <c r="O778" s="16"/>
      <c r="P778" s="6">
        <v>40660.395856481482</v>
      </c>
      <c r="Q778" s="12" t="s">
        <v>2725</v>
      </c>
      <c r="R778" s="17" t="s">
        <v>2726</v>
      </c>
      <c r="S778" s="13" t="s">
        <v>2727</v>
      </c>
      <c r="T778" s="11"/>
      <c r="U778" s="10" t="str">
        <f>HYPERLINK("https://pbs.twimg.com/profile_images/1066691666843590657/KmBnBSqf.jpg","View")</f>
        <v>View</v>
      </c>
    </row>
    <row r="779" spans="1:21" ht="112.2">
      <c r="A779" s="6">
        <v>43440.573159722218</v>
      </c>
      <c r="B779" s="7" t="str">
        <f>HYPERLINK("https://twitter.com/AuroraMG17","@AuroraMG17")</f>
        <v>@AuroraMG17</v>
      </c>
      <c r="C779" s="8" t="s">
        <v>2730</v>
      </c>
      <c r="D779" s="9" t="s">
        <v>2731</v>
      </c>
      <c r="E779" s="10" t="str">
        <f>HYPERLINK("https://twitter.com/AuroraMG17/status/1070660463573250048","1070660463573250048")</f>
        <v>1070660463573250048</v>
      </c>
      <c r="F779" s="13" t="s">
        <v>2733</v>
      </c>
      <c r="G779" s="13" t="s">
        <v>86</v>
      </c>
      <c r="H779" s="11"/>
      <c r="I779" s="14">
        <v>0</v>
      </c>
      <c r="J779" s="14">
        <v>0</v>
      </c>
      <c r="K779" s="15" t="str">
        <f t="shared" ref="K779:K780" si="148">HYPERLINK("http://twitter.com/download/android","Twitter for Android")</f>
        <v>Twitter for Android</v>
      </c>
      <c r="L779" s="14">
        <v>116</v>
      </c>
      <c r="M779" s="14">
        <v>236</v>
      </c>
      <c r="N779" s="14">
        <v>2</v>
      </c>
      <c r="O779" s="16"/>
      <c r="P779" s="6">
        <v>40777.709247685183</v>
      </c>
      <c r="Q779" s="11"/>
      <c r="R779" s="17" t="s">
        <v>2734</v>
      </c>
      <c r="S779" s="11"/>
      <c r="T779" s="11"/>
      <c r="U779" s="10" t="str">
        <f>HYPERLINK("https://pbs.twimg.com/profile_images/1063490862821400576/M9CjZjEJ.jpg","View")</f>
        <v>View</v>
      </c>
    </row>
    <row r="780" spans="1:21" ht="61.2">
      <c r="A780" s="6">
        <v>43440.570092592592</v>
      </c>
      <c r="B780" s="7" t="str">
        <f>HYPERLINK("https://twitter.com/HelloTabarnia","@HelloTabarnia")</f>
        <v>@HelloTabarnia</v>
      </c>
      <c r="C780" s="8" t="s">
        <v>2735</v>
      </c>
      <c r="D780" s="9" t="s">
        <v>2736</v>
      </c>
      <c r="E780" s="10" t="str">
        <f>HYPERLINK("https://twitter.com/HelloTabarnia/status/1070659354892881922","1070659354892881922")</f>
        <v>1070659354892881922</v>
      </c>
      <c r="F780" s="13" t="s">
        <v>2737</v>
      </c>
      <c r="G780" s="11"/>
      <c r="H780" s="11"/>
      <c r="I780" s="14">
        <v>0</v>
      </c>
      <c r="J780" s="14">
        <v>1</v>
      </c>
      <c r="K780" s="15" t="str">
        <f t="shared" si="148"/>
        <v>Twitter for Android</v>
      </c>
      <c r="L780" s="14">
        <v>472</v>
      </c>
      <c r="M780" s="14">
        <v>1002</v>
      </c>
      <c r="N780" s="14">
        <v>4</v>
      </c>
      <c r="O780" s="16"/>
      <c r="P780" s="6">
        <v>41164.871203703704</v>
      </c>
      <c r="Q780" s="12" t="s">
        <v>137</v>
      </c>
      <c r="R780" s="18"/>
      <c r="S780" s="11"/>
      <c r="T780" s="11"/>
      <c r="U780" s="10" t="str">
        <f>HYPERLINK("https://pbs.twimg.com/profile_images/551141362352263168/aqHFgCPU.jpeg","View")</f>
        <v>View</v>
      </c>
    </row>
    <row r="781" spans="1:21" ht="30.6">
      <c r="A781" s="6">
        <v>43440.569444444445</v>
      </c>
      <c r="B781" s="7" t="str">
        <f>HYPERLINK("https://twitter.com/noticias_cuatro","@noticias_cuatro")</f>
        <v>@noticias_cuatro</v>
      </c>
      <c r="C781" s="8" t="s">
        <v>3413</v>
      </c>
      <c r="D781" s="9" t="s">
        <v>3414</v>
      </c>
      <c r="E781" s="10" t="str">
        <f>HYPERLINK("https://twitter.com/noticias_cuatro/status/1070659118451445760","1070659118451445760")</f>
        <v>1070659118451445760</v>
      </c>
      <c r="F781" s="13" t="s">
        <v>3416</v>
      </c>
      <c r="G781" s="13" t="s">
        <v>3417</v>
      </c>
      <c r="H781" s="11"/>
      <c r="I781" s="14">
        <v>0</v>
      </c>
      <c r="J781" s="14">
        <v>3</v>
      </c>
      <c r="K781" s="15" t="str">
        <f>HYPERLINK("https://about.twitter.com/products/tweetdeck","TweetDeck")</f>
        <v>TweetDeck</v>
      </c>
      <c r="L781" s="14">
        <v>831785</v>
      </c>
      <c r="M781" s="14">
        <v>619</v>
      </c>
      <c r="N781" s="14">
        <v>4692</v>
      </c>
      <c r="O781" s="19" t="s">
        <v>42</v>
      </c>
      <c r="P781" s="6">
        <v>40015.475694444445</v>
      </c>
      <c r="Q781" s="12" t="s">
        <v>2831</v>
      </c>
      <c r="R781" s="17" t="s">
        <v>3418</v>
      </c>
      <c r="S781" s="13" t="s">
        <v>3419</v>
      </c>
      <c r="T781" s="11"/>
      <c r="U781" s="10" t="str">
        <f>HYPERLINK("https://pbs.twimg.com/profile_images/912643474855473153/8biMgBID.jpg","View")</f>
        <v>View</v>
      </c>
    </row>
    <row r="782" spans="1:21" ht="51">
      <c r="A782" s="6">
        <v>43440.568518518514</v>
      </c>
      <c r="B782" s="7" t="str">
        <f>HYPERLINK("https://twitter.com/ssigfrrido","@ssigfrrido")</f>
        <v>@ssigfrrido</v>
      </c>
      <c r="C782" s="8" t="s">
        <v>2738</v>
      </c>
      <c r="D782" s="9" t="s">
        <v>39</v>
      </c>
      <c r="E782" s="10" t="str">
        <f>HYPERLINK("https://twitter.com/ssigfrrido/status/1070658782018060289","1070658782018060289")</f>
        <v>1070658782018060289</v>
      </c>
      <c r="F782" s="13" t="s">
        <v>2739</v>
      </c>
      <c r="G782" s="11"/>
      <c r="H782" s="11"/>
      <c r="I782" s="14">
        <v>0</v>
      </c>
      <c r="J782" s="14">
        <v>0</v>
      </c>
      <c r="K782" s="15" t="str">
        <f>HYPERLINK("http://twitter.com/download/android","Twitter for Android")</f>
        <v>Twitter for Android</v>
      </c>
      <c r="L782" s="14">
        <v>274</v>
      </c>
      <c r="M782" s="14">
        <v>1688</v>
      </c>
      <c r="N782" s="14">
        <v>10</v>
      </c>
      <c r="O782" s="16"/>
      <c r="P782" s="6">
        <v>40346.743564814817</v>
      </c>
      <c r="Q782" s="12" t="s">
        <v>2740</v>
      </c>
      <c r="R782" s="17" t="s">
        <v>2741</v>
      </c>
      <c r="S782" s="13" t="s">
        <v>2742</v>
      </c>
      <c r="T782" s="11"/>
      <c r="U782" s="10" t="str">
        <f>HYPERLINK("https://pbs.twimg.com/profile_images/1142135964/1WX58SlNIAAEB_8GYNJOZ1KiUnVpkuw__.73.png","View")</f>
        <v>View</v>
      </c>
    </row>
    <row r="783" spans="1:21" ht="51">
      <c r="A783" s="6">
        <v>43440.567800925928</v>
      </c>
      <c r="B783" s="7" t="str">
        <f>HYPERLINK("https://twitter.com/AbrahamR_82","@AbrahamR_82")</f>
        <v>@AbrahamR_82</v>
      </c>
      <c r="C783" s="8" t="s">
        <v>3425</v>
      </c>
      <c r="D783" s="9" t="s">
        <v>3426</v>
      </c>
      <c r="E783" s="10" t="str">
        <f>HYPERLINK("https://twitter.com/AbrahamR_82/status/1070658523279835137","1070658523279835137")</f>
        <v>1070658523279835137</v>
      </c>
      <c r="F783" s="11"/>
      <c r="G783" s="11"/>
      <c r="H783" s="11"/>
      <c r="I783" s="14">
        <v>1</v>
      </c>
      <c r="J783" s="14">
        <v>5</v>
      </c>
      <c r="K783" s="15" t="str">
        <f>HYPERLINK("http://twitter.com/download/iphone","Twitter for iPhone")</f>
        <v>Twitter for iPhone</v>
      </c>
      <c r="L783" s="14">
        <v>1191</v>
      </c>
      <c r="M783" s="14">
        <v>899</v>
      </c>
      <c r="N783" s="14">
        <v>45</v>
      </c>
      <c r="O783" s="16"/>
      <c r="P783" s="6">
        <v>40254.606851851851</v>
      </c>
      <c r="Q783" s="12" t="s">
        <v>3429</v>
      </c>
      <c r="R783" s="17" t="s">
        <v>3430</v>
      </c>
      <c r="S783" s="11"/>
      <c r="T783" s="11"/>
      <c r="U783" s="10" t="str">
        <f>HYPERLINK("https://pbs.twimg.com/profile_images/833439157594779648/UhX5xRu9.jpg","View")</f>
        <v>View</v>
      </c>
    </row>
    <row r="784" spans="1:21" ht="20.399999999999999">
      <c r="A784" s="6">
        <v>43440.567708333328</v>
      </c>
      <c r="B784" s="7" t="str">
        <f>HYPERLINK("https://twitter.com/FrancescRoldan","@FrancescRoldan")</f>
        <v>@FrancescRoldan</v>
      </c>
      <c r="C784" s="8" t="s">
        <v>3431</v>
      </c>
      <c r="D784" s="9" t="s">
        <v>3432</v>
      </c>
      <c r="E784" s="10" t="str">
        <f>HYPERLINK("https://twitter.com/FrancescRoldan/status/1070658491445100545","1070658491445100545")</f>
        <v>1070658491445100545</v>
      </c>
      <c r="F784" s="11"/>
      <c r="G784" s="11"/>
      <c r="H784" s="11"/>
      <c r="I784" s="14">
        <v>0</v>
      </c>
      <c r="J784" s="14">
        <v>0</v>
      </c>
      <c r="K784" s="15" t="str">
        <f>HYPERLINK("https://mobile.twitter.com","Twitter Lite")</f>
        <v>Twitter Lite</v>
      </c>
      <c r="L784" s="14">
        <v>284</v>
      </c>
      <c r="M784" s="14">
        <v>288</v>
      </c>
      <c r="N784" s="14">
        <v>0</v>
      </c>
      <c r="O784" s="16"/>
      <c r="P784" s="6">
        <v>41596.620555555557</v>
      </c>
      <c r="Q784" s="12" t="s">
        <v>3435</v>
      </c>
      <c r="R784" s="17" t="s">
        <v>3436</v>
      </c>
      <c r="S784" s="13" t="s">
        <v>3437</v>
      </c>
      <c r="T784" s="11"/>
      <c r="U784" s="10" t="str">
        <f>HYPERLINK("https://pbs.twimg.com/profile_images/979348117362544641/AkjYZjcP.jpg","View")</f>
        <v>View</v>
      </c>
    </row>
    <row r="785" spans="1:21" ht="40.799999999999997">
      <c r="A785" s="6">
        <v>43440.565960648149</v>
      </c>
      <c r="B785" s="7" t="str">
        <f>HYPERLINK("https://twitter.com/La_Cerca","@La_Cerca")</f>
        <v>@La_Cerca</v>
      </c>
      <c r="C785" s="8" t="s">
        <v>2743</v>
      </c>
      <c r="D785" s="9" t="s">
        <v>2744</v>
      </c>
      <c r="E785" s="10" t="str">
        <f>HYPERLINK("https://twitter.com/La_Cerca/status/1070657855072669696","1070657855072669696")</f>
        <v>1070657855072669696</v>
      </c>
      <c r="F785" s="13" t="s">
        <v>2745</v>
      </c>
      <c r="G785" s="11"/>
      <c r="H785" s="11"/>
      <c r="I785" s="14">
        <v>0</v>
      </c>
      <c r="J785" s="14">
        <v>0</v>
      </c>
      <c r="K785" s="15" t="str">
        <f>HYPERLINK("http://www.lacerca.com","La Cerca")</f>
        <v>La Cerca</v>
      </c>
      <c r="L785" s="14">
        <v>18980</v>
      </c>
      <c r="M785" s="14">
        <v>4970</v>
      </c>
      <c r="N785" s="14">
        <v>337</v>
      </c>
      <c r="O785" s="19" t="s">
        <v>42</v>
      </c>
      <c r="P785" s="6">
        <v>40007.429652777777</v>
      </c>
      <c r="Q785" s="12" t="s">
        <v>2255</v>
      </c>
      <c r="R785" s="17" t="s">
        <v>2746</v>
      </c>
      <c r="S785" s="13" t="s">
        <v>2747</v>
      </c>
      <c r="T785" s="11"/>
      <c r="U785" s="10" t="str">
        <f>HYPERLINK("https://pbs.twimg.com/profile_images/1046758213843111937/MFsiNfy0.jpg","View")</f>
        <v>View</v>
      </c>
    </row>
    <row r="786" spans="1:21" ht="30.6">
      <c r="A786" s="6">
        <v>43440.563449074078</v>
      </c>
      <c r="B786" s="7" t="str">
        <f>HYPERLINK("https://twitter.com/BetrianDavid","@BetrianDavid")</f>
        <v>@BetrianDavid</v>
      </c>
      <c r="C786" s="8" t="s">
        <v>3440</v>
      </c>
      <c r="D786" s="9" t="s">
        <v>3441</v>
      </c>
      <c r="E786" s="10" t="str">
        <f>HYPERLINK("https://twitter.com/BetrianDavid/status/1070656944753512448","1070656944753512448")</f>
        <v>1070656944753512448</v>
      </c>
      <c r="F786" s="13" t="s">
        <v>3443</v>
      </c>
      <c r="G786" s="11"/>
      <c r="H786" s="11"/>
      <c r="I786" s="14">
        <v>0</v>
      </c>
      <c r="J786" s="14">
        <v>0</v>
      </c>
      <c r="K786" s="15" t="str">
        <f>HYPERLINK("http://twitter.com/download/android","Twitter for Android")</f>
        <v>Twitter for Android</v>
      </c>
      <c r="L786" s="14">
        <v>487</v>
      </c>
      <c r="M786" s="14">
        <v>1262</v>
      </c>
      <c r="N786" s="14">
        <v>8</v>
      </c>
      <c r="O786" s="16"/>
      <c r="P786" s="6">
        <v>42043.550081018519</v>
      </c>
      <c r="Q786" s="11"/>
      <c r="R786" s="17" t="s">
        <v>3445</v>
      </c>
      <c r="S786" s="11"/>
      <c r="T786" s="11"/>
      <c r="U786" s="10" t="str">
        <f>HYPERLINK("https://pbs.twimg.com/profile_images/1071098882409594880/BscuoPux.jpg","View")</f>
        <v>View</v>
      </c>
    </row>
    <row r="787" spans="1:21" ht="40.799999999999997">
      <c r="A787" s="6">
        <v>43440.563194444447</v>
      </c>
      <c r="B787" s="7" t="str">
        <f>HYPERLINK("https://twitter.com/don_Diario","@don_Diario")</f>
        <v>@don_Diario</v>
      </c>
      <c r="C787" s="21" t="s">
        <v>3446</v>
      </c>
      <c r="D787" s="9" t="s">
        <v>3447</v>
      </c>
      <c r="E787" s="10" t="str">
        <f>HYPERLINK("https://twitter.com/don_Diario/status/1070656853359550464","1070656853359550464")</f>
        <v>1070656853359550464</v>
      </c>
      <c r="F787" s="13" t="s">
        <v>3448</v>
      </c>
      <c r="G787" s="13" t="s">
        <v>3449</v>
      </c>
      <c r="H787" s="11"/>
      <c r="I787" s="14">
        <v>0</v>
      </c>
      <c r="J787" s="14">
        <v>0</v>
      </c>
      <c r="K787" s="15" t="str">
        <f>HYPERLINK("https://about.twitter.com/products/tweetdeck","TweetDeck")</f>
        <v>TweetDeck</v>
      </c>
      <c r="L787" s="14">
        <v>47715</v>
      </c>
      <c r="M787" s="14">
        <v>92</v>
      </c>
      <c r="N787" s="14">
        <v>1334</v>
      </c>
      <c r="O787" s="16"/>
      <c r="P787" s="6">
        <v>39911.462465277778</v>
      </c>
      <c r="Q787" s="12" t="s">
        <v>137</v>
      </c>
      <c r="R787" s="17" t="s">
        <v>3452</v>
      </c>
      <c r="S787" s="13" t="s">
        <v>3453</v>
      </c>
      <c r="T787" s="11"/>
      <c r="U787" s="10" t="str">
        <f>HYPERLINK("https://pbs.twimg.com/profile_images/1048140162247675904/sLf5W_y0.jpg","View")</f>
        <v>View</v>
      </c>
    </row>
    <row r="788" spans="1:21" ht="30.6">
      <c r="A788" s="6">
        <v>43440.559444444443</v>
      </c>
      <c r="B788" s="7" t="str">
        <f>HYPERLINK("https://twitter.com/montalvomanu","@montalvomanu")</f>
        <v>@montalvomanu</v>
      </c>
      <c r="C788" s="8" t="s">
        <v>3455</v>
      </c>
      <c r="D788" s="9" t="s">
        <v>3301</v>
      </c>
      <c r="E788" s="10" t="str">
        <f>HYPERLINK("https://twitter.com/montalvomanu/status/1070655496435191808","1070655496435191808")</f>
        <v>1070655496435191808</v>
      </c>
      <c r="F788" s="13" t="s">
        <v>2582</v>
      </c>
      <c r="G788" s="11"/>
      <c r="H788" s="11"/>
      <c r="I788" s="14">
        <v>0</v>
      </c>
      <c r="J788" s="14">
        <v>0</v>
      </c>
      <c r="K788" s="15" t="str">
        <f>HYPERLINK("http://twitter.com","Twitter Web Client")</f>
        <v>Twitter Web Client</v>
      </c>
      <c r="L788" s="14">
        <v>3006</v>
      </c>
      <c r="M788" s="14">
        <v>3362</v>
      </c>
      <c r="N788" s="14">
        <v>34</v>
      </c>
      <c r="O788" s="16"/>
      <c r="P788" s="6">
        <v>42087.942256944443</v>
      </c>
      <c r="Q788" s="12" t="s">
        <v>181</v>
      </c>
      <c r="R788" s="17" t="s">
        <v>3458</v>
      </c>
      <c r="S788" s="13" t="s">
        <v>3459</v>
      </c>
      <c r="T788" s="11"/>
      <c r="U788" s="10" t="str">
        <f>HYPERLINK("https://pbs.twimg.com/profile_images/836602051832524800/qa-3DxBP.jpg","View")</f>
        <v>View</v>
      </c>
    </row>
    <row r="789" spans="1:21" ht="40.799999999999997">
      <c r="A789" s="6">
        <v>43440.558449074073</v>
      </c>
      <c r="B789" s="7" t="str">
        <f>HYPERLINK("https://twitter.com/Catarrao1","@Catarrao1")</f>
        <v>@Catarrao1</v>
      </c>
      <c r="C789" s="8" t="s">
        <v>2748</v>
      </c>
      <c r="D789" s="9" t="s">
        <v>2749</v>
      </c>
      <c r="E789" s="10" t="str">
        <f>HYPERLINK("https://twitter.com/Catarrao1/status/1070655135381114880","1070655135381114880")</f>
        <v>1070655135381114880</v>
      </c>
      <c r="F789" s="11"/>
      <c r="G789" s="13" t="s">
        <v>2752</v>
      </c>
      <c r="H789" s="11"/>
      <c r="I789" s="14">
        <v>3</v>
      </c>
      <c r="J789" s="14">
        <v>6</v>
      </c>
      <c r="K789" s="15" t="str">
        <f>HYPERLINK("http://twitter.com/download/android","Twitter for Android")</f>
        <v>Twitter for Android</v>
      </c>
      <c r="L789" s="14">
        <v>1389</v>
      </c>
      <c r="M789" s="14">
        <v>99</v>
      </c>
      <c r="N789" s="14">
        <v>8</v>
      </c>
      <c r="O789" s="16"/>
      <c r="P789" s="6">
        <v>43306.989745370374</v>
      </c>
      <c r="Q789" s="12" t="s">
        <v>2755</v>
      </c>
      <c r="R789" s="17" t="s">
        <v>2756</v>
      </c>
      <c r="S789" s="11"/>
      <c r="T789" s="11"/>
      <c r="U789" s="10" t="str">
        <f>HYPERLINK("https://pbs.twimg.com/profile_images/1070341545784737792/td-VW7yV.jpg","View")</f>
        <v>View</v>
      </c>
    </row>
    <row r="790" spans="1:21" ht="51">
      <c r="A790" s="6">
        <v>43440.557627314818</v>
      </c>
      <c r="B790" s="7" t="str">
        <f>HYPERLINK("https://twitter.com/Albert_Rivera","@Albert_Rivera")</f>
        <v>@Albert_Rivera</v>
      </c>
      <c r="C790" s="8" t="s">
        <v>443</v>
      </c>
      <c r="D790" s="9" t="s">
        <v>3464</v>
      </c>
      <c r="E790" s="10" t="str">
        <f>HYPERLINK("https://twitter.com/Albert_Rivera/status/1070654834922139649","1070654834922139649")</f>
        <v>1070654834922139649</v>
      </c>
      <c r="F790" s="11"/>
      <c r="G790" s="13" t="s">
        <v>3465</v>
      </c>
      <c r="H790" s="11"/>
      <c r="I790" s="14">
        <v>272</v>
      </c>
      <c r="J790" s="14">
        <v>700</v>
      </c>
      <c r="K790" s="15" t="str">
        <f>HYPERLINK("http://twitter.com/download/iphone","Twitter for iPhone")</f>
        <v>Twitter for iPhone</v>
      </c>
      <c r="L790" s="14">
        <v>1075808</v>
      </c>
      <c r="M790" s="14">
        <v>2547</v>
      </c>
      <c r="N790" s="14">
        <v>5114</v>
      </c>
      <c r="O790" s="19" t="s">
        <v>42</v>
      </c>
      <c r="P790" s="6">
        <v>40205.748171296298</v>
      </c>
      <c r="Q790" s="12" t="s">
        <v>137</v>
      </c>
      <c r="R790" s="17" t="s">
        <v>450</v>
      </c>
      <c r="S790" s="13" t="s">
        <v>452</v>
      </c>
      <c r="T790" s="11"/>
      <c r="U790" s="10" t="str">
        <f>HYPERLINK("https://pbs.twimg.com/profile_images/1030708936779988993/RncDM4EZ.jpg","View")</f>
        <v>View</v>
      </c>
    </row>
    <row r="791" spans="1:21" ht="51">
      <c r="A791" s="6">
        <v>43440.556909722218</v>
      </c>
      <c r="B791" s="7" t="str">
        <f>HYPERLINK("https://twitter.com/Eagle9mm","@Eagle9mm")</f>
        <v>@Eagle9mm</v>
      </c>
      <c r="C791" s="8" t="s">
        <v>2760</v>
      </c>
      <c r="D791" s="9" t="s">
        <v>39</v>
      </c>
      <c r="E791" s="10" t="str">
        <f>HYPERLINK("https://twitter.com/Eagle9mm/status/1070654574598463488","1070654574598463488")</f>
        <v>1070654574598463488</v>
      </c>
      <c r="F791" s="13" t="s">
        <v>2762</v>
      </c>
      <c r="G791" s="11"/>
      <c r="H791" s="11"/>
      <c r="I791" s="14">
        <v>1</v>
      </c>
      <c r="J791" s="14">
        <v>1</v>
      </c>
      <c r="K791" s="15" t="str">
        <f>HYPERLINK("http://twitter.com","Twitter Web Client")</f>
        <v>Twitter Web Client</v>
      </c>
      <c r="L791" s="14">
        <v>597</v>
      </c>
      <c r="M791" s="14">
        <v>1030</v>
      </c>
      <c r="N791" s="14">
        <v>10</v>
      </c>
      <c r="O791" s="16"/>
      <c r="P791" s="6">
        <v>40795.668888888889</v>
      </c>
      <c r="Q791" s="11"/>
      <c r="R791" s="17" t="s">
        <v>2766</v>
      </c>
      <c r="S791" s="11"/>
      <c r="T791" s="11"/>
      <c r="U791" s="10" t="str">
        <f>HYPERLINK("https://pbs.twimg.com/profile_images/844471470675906560/WN_D1lxu.jpg","View")</f>
        <v>View</v>
      </c>
    </row>
    <row r="792" spans="1:21" ht="61.2">
      <c r="A792" s="6">
        <v>43440.554293981477</v>
      </c>
      <c r="B792" s="7" t="str">
        <f>HYPERLINK("https://twitter.com/Sepuedelaciana","@Sepuedelaciana")</f>
        <v>@Sepuedelaciana</v>
      </c>
      <c r="C792" s="8" t="s">
        <v>2770</v>
      </c>
      <c r="D792" s="9" t="s">
        <v>2771</v>
      </c>
      <c r="E792" s="10" t="str">
        <f>HYPERLINK("https://twitter.com/Sepuedelaciana/status/1070653626513793024","1070653626513793024")</f>
        <v>1070653626513793024</v>
      </c>
      <c r="F792" s="13" t="s">
        <v>2772</v>
      </c>
      <c r="G792" s="13" t="s">
        <v>2773</v>
      </c>
      <c r="H792" s="11"/>
      <c r="I792" s="14">
        <v>0</v>
      </c>
      <c r="J792" s="14">
        <v>0</v>
      </c>
      <c r="K792" s="15" t="str">
        <f t="shared" ref="K792:K794" si="149">HYPERLINK("http://twitter.com/download/android","Twitter for Android")</f>
        <v>Twitter for Android</v>
      </c>
      <c r="L792" s="14">
        <v>840</v>
      </c>
      <c r="M792" s="14">
        <v>1411</v>
      </c>
      <c r="N792" s="14">
        <v>12</v>
      </c>
      <c r="O792" s="16"/>
      <c r="P792" s="6">
        <v>41382.830474537041</v>
      </c>
      <c r="Q792" s="12" t="s">
        <v>2774</v>
      </c>
      <c r="R792" s="17" t="s">
        <v>2775</v>
      </c>
      <c r="S792" s="11"/>
      <c r="T792" s="11"/>
      <c r="U792" s="10" t="str">
        <f>HYPERLINK("https://pbs.twimg.com/profile_images/745309596043124736/kcEKS9Mo.jpg","View")</f>
        <v>View</v>
      </c>
    </row>
    <row r="793" spans="1:21" ht="51">
      <c r="A793" s="6">
        <v>43440.551504629635</v>
      </c>
      <c r="B793" s="7" t="str">
        <f>HYPERLINK("https://twitter.com/MargaSolino","@MargaSolino")</f>
        <v>@MargaSolino</v>
      </c>
      <c r="C793" s="8" t="s">
        <v>2776</v>
      </c>
      <c r="D793" s="9" t="s">
        <v>2777</v>
      </c>
      <c r="E793" s="10" t="str">
        <f>HYPERLINK("https://twitter.com/MargaSolino/status/1070652616445714432","1070652616445714432")</f>
        <v>1070652616445714432</v>
      </c>
      <c r="F793" s="13" t="s">
        <v>2778</v>
      </c>
      <c r="G793" s="13" t="s">
        <v>2779</v>
      </c>
      <c r="H793" s="11"/>
      <c r="I793" s="14">
        <v>25</v>
      </c>
      <c r="J793" s="14">
        <v>27</v>
      </c>
      <c r="K793" s="15" t="str">
        <f t="shared" si="149"/>
        <v>Twitter for Android</v>
      </c>
      <c r="L793" s="14">
        <v>1640</v>
      </c>
      <c r="M793" s="14">
        <v>1299</v>
      </c>
      <c r="N793" s="14">
        <v>6</v>
      </c>
      <c r="O793" s="16"/>
      <c r="P793" s="6">
        <v>41394.929375</v>
      </c>
      <c r="Q793" s="12" t="s">
        <v>2780</v>
      </c>
      <c r="R793" s="17" t="s">
        <v>2781</v>
      </c>
      <c r="S793" s="11"/>
      <c r="T793" s="11"/>
      <c r="U793" s="10" t="str">
        <f>HYPERLINK("https://pbs.twimg.com/profile_images/1070345577815310338/z9XL8K0G.jpg","View")</f>
        <v>View</v>
      </c>
    </row>
    <row r="794" spans="1:21" ht="51">
      <c r="A794" s="6">
        <v>43440.55086805555</v>
      </c>
      <c r="B794" s="7" t="str">
        <f>HYPERLINK("https://twitter.com/guillermoordas_","@guillermoordas_")</f>
        <v>@guillermoordas_</v>
      </c>
      <c r="C794" s="8" t="s">
        <v>2137</v>
      </c>
      <c r="D794" s="9" t="s">
        <v>3474</v>
      </c>
      <c r="E794" s="10" t="str">
        <f>HYPERLINK("https://twitter.com/guillermoordas_/status/1070652387109584896","1070652387109584896")</f>
        <v>1070652387109584896</v>
      </c>
      <c r="F794" s="11"/>
      <c r="G794" s="13" t="s">
        <v>3475</v>
      </c>
      <c r="H794" s="11"/>
      <c r="I794" s="14">
        <v>21</v>
      </c>
      <c r="J794" s="14">
        <v>14</v>
      </c>
      <c r="K794" s="15" t="str">
        <f t="shared" si="149"/>
        <v>Twitter for Android</v>
      </c>
      <c r="L794" s="14">
        <v>15453</v>
      </c>
      <c r="M794" s="14">
        <v>14887</v>
      </c>
      <c r="N794" s="14">
        <v>74</v>
      </c>
      <c r="O794" s="16"/>
      <c r="P794" s="6">
        <v>42000.502812499995</v>
      </c>
      <c r="Q794" s="12" t="s">
        <v>2141</v>
      </c>
      <c r="R794" s="17" t="s">
        <v>2143</v>
      </c>
      <c r="S794" s="11"/>
      <c r="T794" s="11"/>
      <c r="U794" s="10" t="str">
        <f>HYPERLINK("https://pbs.twimg.com/profile_images/1050019578737233921/lQ65O313.jpg","View")</f>
        <v>View</v>
      </c>
    </row>
    <row r="795" spans="1:21" ht="40.799999999999997">
      <c r="A795" s="6">
        <v>43440.550543981481</v>
      </c>
      <c r="B795" s="7" t="str">
        <f>HYPERLINK("https://twitter.com/agrnineta","@agrnineta")</f>
        <v>@agrnineta</v>
      </c>
      <c r="C795" s="8" t="s">
        <v>3478</v>
      </c>
      <c r="D795" s="9" t="s">
        <v>3479</v>
      </c>
      <c r="E795" s="10" t="str">
        <f>HYPERLINK("https://twitter.com/agrnineta/status/1070652269694210050","1070652269694210050")</f>
        <v>1070652269694210050</v>
      </c>
      <c r="F795" s="13" t="s">
        <v>3396</v>
      </c>
      <c r="G795" s="11"/>
      <c r="H795" s="11"/>
      <c r="I795" s="14">
        <v>0</v>
      </c>
      <c r="J795" s="14">
        <v>0</v>
      </c>
      <c r="K795" s="15" t="str">
        <f>HYPERLINK("http://twitter.com","Twitter Web Client")</f>
        <v>Twitter Web Client</v>
      </c>
      <c r="L795" s="14">
        <v>801</v>
      </c>
      <c r="M795" s="14">
        <v>1829</v>
      </c>
      <c r="N795" s="14">
        <v>27</v>
      </c>
      <c r="O795" s="16"/>
      <c r="P795" s="6">
        <v>40109.915231481486</v>
      </c>
      <c r="Q795" s="11"/>
      <c r="R795" s="17" t="s">
        <v>3481</v>
      </c>
      <c r="S795" s="13" t="s">
        <v>3482</v>
      </c>
      <c r="T795" s="11"/>
      <c r="U795" s="10" t="str">
        <f>HYPERLINK("https://pbs.twimg.com/profile_images/855874546439684097/VYpF_Syb.jpg","View")</f>
        <v>View</v>
      </c>
    </row>
    <row r="796" spans="1:21" ht="51">
      <c r="A796" s="6">
        <v>43440.550497685181</v>
      </c>
      <c r="B796" s="7" t="str">
        <f>HYPERLINK("https://twitter.com/gutialvaro69","@gutialvaro69")</f>
        <v>@gutialvaro69</v>
      </c>
      <c r="C796" s="8" t="s">
        <v>2787</v>
      </c>
      <c r="D796" s="9" t="s">
        <v>2788</v>
      </c>
      <c r="E796" s="10" t="str">
        <f>HYPERLINK("https://twitter.com/gutialvaro69/status/1070652253906849792","1070652253906849792")</f>
        <v>1070652253906849792</v>
      </c>
      <c r="F796" s="11"/>
      <c r="G796" s="11"/>
      <c r="H796" s="11"/>
      <c r="I796" s="14">
        <v>0</v>
      </c>
      <c r="J796" s="14">
        <v>0</v>
      </c>
      <c r="K796" s="15" t="str">
        <f>HYPERLINK("http://twitter.com/download/iphone","Twitter for iPhone")</f>
        <v>Twitter for iPhone</v>
      </c>
      <c r="L796" s="14">
        <v>393</v>
      </c>
      <c r="M796" s="14">
        <v>520</v>
      </c>
      <c r="N796" s="14">
        <v>1</v>
      </c>
      <c r="O796" s="16"/>
      <c r="P796" s="6">
        <v>40324.669270833336</v>
      </c>
      <c r="Q796" s="12" t="s">
        <v>60</v>
      </c>
      <c r="R796" s="17" t="s">
        <v>2794</v>
      </c>
      <c r="S796" s="11"/>
      <c r="T796" s="11"/>
      <c r="U796" s="10" t="str">
        <f>HYPERLINK("https://pbs.twimg.com/profile_images/1066729106950275072/jUYIyiTJ.jpg","View")</f>
        <v>View</v>
      </c>
    </row>
    <row r="797" spans="1:21" ht="81.599999999999994">
      <c r="A797" s="6">
        <v>43440.55023148148</v>
      </c>
      <c r="B797" s="7" t="str">
        <f>HYPERLINK("https://twitter.com/Sepuedelaciana","@Sepuedelaciana")</f>
        <v>@Sepuedelaciana</v>
      </c>
      <c r="C797" s="8" t="s">
        <v>2770</v>
      </c>
      <c r="D797" s="9" t="s">
        <v>2795</v>
      </c>
      <c r="E797" s="10" t="str">
        <f>HYPERLINK("https://twitter.com/Sepuedelaciana/status/1070652158092210177","1070652158092210177")</f>
        <v>1070652158092210177</v>
      </c>
      <c r="F797" s="13" t="s">
        <v>2310</v>
      </c>
      <c r="G797" s="13" t="s">
        <v>2313</v>
      </c>
      <c r="H797" s="11"/>
      <c r="I797" s="14">
        <v>0</v>
      </c>
      <c r="J797" s="14">
        <v>0</v>
      </c>
      <c r="K797" s="15" t="str">
        <f t="shared" ref="K797:K798" si="150">HYPERLINK("http://twitter.com/download/android","Twitter for Android")</f>
        <v>Twitter for Android</v>
      </c>
      <c r="L797" s="14">
        <v>840</v>
      </c>
      <c r="M797" s="14">
        <v>1411</v>
      </c>
      <c r="N797" s="14">
        <v>12</v>
      </c>
      <c r="O797" s="16"/>
      <c r="P797" s="6">
        <v>41382.830474537041</v>
      </c>
      <c r="Q797" s="12" t="s">
        <v>2774</v>
      </c>
      <c r="R797" s="17" t="s">
        <v>2775</v>
      </c>
      <c r="S797" s="11"/>
      <c r="T797" s="11"/>
      <c r="U797" s="10" t="str">
        <f>HYPERLINK("https://pbs.twimg.com/profile_images/745309596043124736/kcEKS9Mo.jpg","View")</f>
        <v>View</v>
      </c>
    </row>
    <row r="798" spans="1:21" ht="71.400000000000006">
      <c r="A798" s="6">
        <v>43440.547997685186</v>
      </c>
      <c r="B798" s="7" t="str">
        <f>HYPERLINK("https://twitter.com/verolozman66","@verolozman66")</f>
        <v>@verolozman66</v>
      </c>
      <c r="C798" s="8" t="s">
        <v>2796</v>
      </c>
      <c r="D798" s="9" t="s">
        <v>2797</v>
      </c>
      <c r="E798" s="10" t="str">
        <f>HYPERLINK("https://twitter.com/verolozman66/status/1070651344850182145","1070651344850182145")</f>
        <v>1070651344850182145</v>
      </c>
      <c r="F798" s="12" t="s">
        <v>2798</v>
      </c>
      <c r="G798" s="11"/>
      <c r="H798" s="11"/>
      <c r="I798" s="14">
        <v>0</v>
      </c>
      <c r="J798" s="14">
        <v>0</v>
      </c>
      <c r="K798" s="15" t="str">
        <f t="shared" si="150"/>
        <v>Twitter for Android</v>
      </c>
      <c r="L798" s="14">
        <v>736</v>
      </c>
      <c r="M798" s="14">
        <v>648</v>
      </c>
      <c r="N798" s="14">
        <v>62</v>
      </c>
      <c r="O798" s="16"/>
      <c r="P798" s="6">
        <v>42345.069062499999</v>
      </c>
      <c r="Q798" s="11"/>
      <c r="R798" s="17" t="s">
        <v>2799</v>
      </c>
      <c r="S798" s="11"/>
      <c r="T798" s="11"/>
      <c r="U798" s="10" t="str">
        <f>HYPERLINK("https://pbs.twimg.com/profile_images/963758501209300993/aVfqUi73.jpg","View")</f>
        <v>View</v>
      </c>
    </row>
    <row r="799" spans="1:21" ht="40.799999999999997">
      <c r="A799" s="6">
        <v>43440.5466087963</v>
      </c>
      <c r="B799" s="7" t="str">
        <f>HYPERLINK("https://twitter.com/Cs_Madrid","@Cs_Madrid")</f>
        <v>@Cs_Madrid</v>
      </c>
      <c r="C799" s="8" t="s">
        <v>2800</v>
      </c>
      <c r="D799" s="9" t="s">
        <v>2801</v>
      </c>
      <c r="E799" s="10" t="str">
        <f>HYPERLINK("https://twitter.com/Cs_Madrid/status/1070650844188680192","1070650844188680192")</f>
        <v>1070650844188680192</v>
      </c>
      <c r="F799" s="13" t="s">
        <v>2240</v>
      </c>
      <c r="G799" s="13" t="s">
        <v>2802</v>
      </c>
      <c r="H799" s="11"/>
      <c r="I799" s="14">
        <v>9</v>
      </c>
      <c r="J799" s="14">
        <v>11</v>
      </c>
      <c r="K799" s="15" t="str">
        <f>HYPERLINK("https://studio.twitter.com","Twitter Media Studio")</f>
        <v>Twitter Media Studio</v>
      </c>
      <c r="L799" s="14">
        <v>45936</v>
      </c>
      <c r="M799" s="14">
        <v>4649</v>
      </c>
      <c r="N799" s="14">
        <v>458</v>
      </c>
      <c r="O799" s="19" t="s">
        <v>42</v>
      </c>
      <c r="P799" s="6">
        <v>41347.871215277773</v>
      </c>
      <c r="Q799" s="12" t="s">
        <v>2800</v>
      </c>
      <c r="R799" s="17" t="s">
        <v>2805</v>
      </c>
      <c r="S799" s="13" t="s">
        <v>2806</v>
      </c>
      <c r="T799" s="11"/>
      <c r="U799" s="10" t="str">
        <f>HYPERLINK("https://pbs.twimg.com/profile_images/1015885974017134593/kzase924.jpg","View")</f>
        <v>View</v>
      </c>
    </row>
    <row r="800" spans="1:21" ht="30.6">
      <c r="A800" s="6">
        <v>43440.545381944445</v>
      </c>
      <c r="B800" s="7" t="str">
        <f>HYPERLINK("https://twitter.com/ontibe","@ontibe")</f>
        <v>@ontibe</v>
      </c>
      <c r="C800" s="8" t="s">
        <v>3487</v>
      </c>
      <c r="D800" s="9" t="s">
        <v>3351</v>
      </c>
      <c r="E800" s="10" t="str">
        <f>HYPERLINK("https://twitter.com/ontibe/status/1070650398204194817","1070650398204194817")</f>
        <v>1070650398204194817</v>
      </c>
      <c r="F800" s="13" t="s">
        <v>2240</v>
      </c>
      <c r="G800" s="11"/>
      <c r="H800" s="11"/>
      <c r="I800" s="14">
        <v>0</v>
      </c>
      <c r="J800" s="14">
        <v>1</v>
      </c>
      <c r="K800" s="15" t="str">
        <f>HYPERLINK("http://twitter.com","Twitter Web Client")</f>
        <v>Twitter Web Client</v>
      </c>
      <c r="L800" s="14">
        <v>462</v>
      </c>
      <c r="M800" s="14">
        <v>1373</v>
      </c>
      <c r="N800" s="14">
        <v>1</v>
      </c>
      <c r="O800" s="16"/>
      <c r="P800" s="6">
        <v>40673.627766203703</v>
      </c>
      <c r="Q800" s="12" t="s">
        <v>3491</v>
      </c>
      <c r="R800" s="17" t="s">
        <v>3492</v>
      </c>
      <c r="S800" s="11"/>
      <c r="T800" s="11"/>
      <c r="U800" s="10" t="str">
        <f>HYPERLINK("https://pbs.twimg.com/profile_images/867069058037972993/9c2-Wrp7.jpg","View")</f>
        <v>View</v>
      </c>
    </row>
    <row r="801" spans="1:21" ht="51">
      <c r="A801" s="6">
        <v>43440.544259259259</v>
      </c>
      <c r="B801" s="7" t="str">
        <f>HYPERLINK("https://twitter.com/Francis83365556","@Francis83365556")</f>
        <v>@Francis83365556</v>
      </c>
      <c r="C801" s="8" t="s">
        <v>2808</v>
      </c>
      <c r="D801" s="9" t="s">
        <v>2809</v>
      </c>
      <c r="E801" s="10" t="str">
        <f>HYPERLINK("https://twitter.com/Francis83365556/status/1070649993445470208","1070649993445470208")</f>
        <v>1070649993445470208</v>
      </c>
      <c r="F801" s="11"/>
      <c r="G801" s="13" t="s">
        <v>2810</v>
      </c>
      <c r="H801" s="11"/>
      <c r="I801" s="14">
        <v>0</v>
      </c>
      <c r="J801" s="14">
        <v>2</v>
      </c>
      <c r="K801" s="15" t="str">
        <f>HYPERLINK("http://twitter.com/download/android","Twitter for Android")</f>
        <v>Twitter for Android</v>
      </c>
      <c r="L801" s="14">
        <v>988</v>
      </c>
      <c r="M801" s="14">
        <v>1081</v>
      </c>
      <c r="N801" s="14">
        <v>1</v>
      </c>
      <c r="O801" s="16"/>
      <c r="P801" s="6">
        <v>43050.648993055554</v>
      </c>
      <c r="Q801" s="11"/>
      <c r="R801" s="17" t="s">
        <v>2811</v>
      </c>
      <c r="S801" s="11"/>
      <c r="T801" s="11"/>
      <c r="U801" s="10" t="str">
        <f>HYPERLINK("https://pbs.twimg.com/profile_images/930529491692253186/f8387QRG.jpg","View")</f>
        <v>View</v>
      </c>
    </row>
    <row r="802" spans="1:21" ht="61.2">
      <c r="A802" s="6">
        <v>43440.54310185185</v>
      </c>
      <c r="B802" s="7" t="str">
        <f>HYPERLINK("https://twitter.com/aingoi","@aingoi")</f>
        <v>@aingoi</v>
      </c>
      <c r="C802" s="8" t="s">
        <v>2812</v>
      </c>
      <c r="D802" s="9" t="s">
        <v>2813</v>
      </c>
      <c r="E802" s="10" t="str">
        <f>HYPERLINK("https://twitter.com/aingoi/status/1070649573381615617","1070649573381615617")</f>
        <v>1070649573381615617</v>
      </c>
      <c r="F802" s="11"/>
      <c r="G802" s="13" t="s">
        <v>2814</v>
      </c>
      <c r="H802" s="11"/>
      <c r="I802" s="14">
        <v>4</v>
      </c>
      <c r="J802" s="14">
        <v>6</v>
      </c>
      <c r="K802" s="15" t="str">
        <f>HYPERLINK("http://twitter.com/download/iphone","Twitter for iPhone")</f>
        <v>Twitter for iPhone</v>
      </c>
      <c r="L802" s="14">
        <v>734</v>
      </c>
      <c r="M802" s="14">
        <v>559</v>
      </c>
      <c r="N802" s="14">
        <v>15</v>
      </c>
      <c r="O802" s="16"/>
      <c r="P802" s="6">
        <v>41564.923645833333</v>
      </c>
      <c r="Q802" s="12" t="s">
        <v>137</v>
      </c>
      <c r="R802" s="17" t="s">
        <v>2815</v>
      </c>
      <c r="S802" s="13" t="s">
        <v>2816</v>
      </c>
      <c r="T802" s="11"/>
      <c r="U802" s="10" t="str">
        <f>HYPERLINK("https://pbs.twimg.com/profile_images/840117772734541825/39aiqkK8.jpg","View")</f>
        <v>View</v>
      </c>
    </row>
    <row r="803" spans="1:21" ht="51">
      <c r="A803" s="6">
        <v>43440.54305555555</v>
      </c>
      <c r="B803" s="7" t="str">
        <f t="shared" ref="B803:B804" si="151">HYPERLINK("https://twitter.com/bitMomentum","@bitMomentum")</f>
        <v>@bitMomentum</v>
      </c>
      <c r="C803" s="8" t="s">
        <v>1889</v>
      </c>
      <c r="D803" s="9" t="s">
        <v>2819</v>
      </c>
      <c r="E803" s="10" t="str">
        <f>HYPERLINK("https://twitter.com/bitMomentum/status/1070649554322763776","1070649554322763776")</f>
        <v>1070649554322763776</v>
      </c>
      <c r="F803" s="11"/>
      <c r="G803" s="11"/>
      <c r="H803" s="11"/>
      <c r="I803" s="14">
        <v>0</v>
      </c>
      <c r="J803" s="14">
        <v>2</v>
      </c>
      <c r="K803" s="15" t="str">
        <f t="shared" ref="K803:K804" si="152">HYPERLINK("http://www.bitmomentum.com","bitMomentum Bot")</f>
        <v>bitMomentum Bot</v>
      </c>
      <c r="L803" s="14">
        <v>10254</v>
      </c>
      <c r="M803" s="14">
        <v>1059</v>
      </c>
      <c r="N803" s="14">
        <v>263</v>
      </c>
      <c r="O803" s="16"/>
      <c r="P803" s="6">
        <v>41608.667511574073</v>
      </c>
      <c r="Q803" s="11"/>
      <c r="R803" s="17" t="s">
        <v>1897</v>
      </c>
      <c r="S803" s="13" t="s">
        <v>1898</v>
      </c>
      <c r="T803" s="11"/>
      <c r="U803" s="10" t="str">
        <f t="shared" ref="U803:U804" si="153">HYPERLINK("https://pbs.twimg.com/profile_images/378800000862185241/20ij2H3u.png","View")</f>
        <v>View</v>
      </c>
    </row>
    <row r="804" spans="1:21" ht="51">
      <c r="A804" s="6">
        <v>43440.542361111111</v>
      </c>
      <c r="B804" s="7" t="str">
        <f t="shared" si="151"/>
        <v>@bitMomentum</v>
      </c>
      <c r="C804" s="8" t="s">
        <v>1889</v>
      </c>
      <c r="D804" s="9" t="s">
        <v>2822</v>
      </c>
      <c r="E804" s="10" t="str">
        <f>HYPERLINK("https://twitter.com/bitMomentum/status/1070649302937190401","1070649302937190401")</f>
        <v>1070649302937190401</v>
      </c>
      <c r="F804" s="11"/>
      <c r="G804" s="11"/>
      <c r="H804" s="11"/>
      <c r="I804" s="14">
        <v>1</v>
      </c>
      <c r="J804" s="14">
        <v>3</v>
      </c>
      <c r="K804" s="15" t="str">
        <f t="shared" si="152"/>
        <v>bitMomentum Bot</v>
      </c>
      <c r="L804" s="14">
        <v>10254</v>
      </c>
      <c r="M804" s="14">
        <v>1059</v>
      </c>
      <c r="N804" s="14">
        <v>263</v>
      </c>
      <c r="O804" s="16"/>
      <c r="P804" s="6">
        <v>41608.667511574073</v>
      </c>
      <c r="Q804" s="11"/>
      <c r="R804" s="17" t="s">
        <v>1897</v>
      </c>
      <c r="S804" s="13" t="s">
        <v>1898</v>
      </c>
      <c r="T804" s="11"/>
      <c r="U804" s="10" t="str">
        <f t="shared" si="153"/>
        <v>View</v>
      </c>
    </row>
    <row r="805" spans="1:21" ht="51">
      <c r="A805" s="6">
        <v>43440.540567129632</v>
      </c>
      <c r="B805" s="7" t="str">
        <f>HYPERLINK("https://twitter.com/Ismaelescuincs","@Ismaelescuincs")</f>
        <v>@Ismaelescuincs</v>
      </c>
      <c r="C805" s="8" t="s">
        <v>937</v>
      </c>
      <c r="D805" s="9" t="s">
        <v>2823</v>
      </c>
      <c r="E805" s="10" t="str">
        <f>HYPERLINK("https://twitter.com/Ismaelescuincs/status/1070648654493597696","1070648654493597696")</f>
        <v>1070648654493597696</v>
      </c>
      <c r="F805" s="13" t="s">
        <v>2824</v>
      </c>
      <c r="G805" s="11"/>
      <c r="H805" s="11"/>
      <c r="I805" s="14">
        <v>21</v>
      </c>
      <c r="J805" s="14">
        <v>21</v>
      </c>
      <c r="K805" s="15" t="str">
        <f>HYPERLINK("http://twitter.com/download/iphone","Twitter for iPhone")</f>
        <v>Twitter for iPhone</v>
      </c>
      <c r="L805" s="14">
        <v>1138</v>
      </c>
      <c r="M805" s="14">
        <v>1215</v>
      </c>
      <c r="N805" s="14">
        <v>1</v>
      </c>
      <c r="O805" s="16"/>
      <c r="P805" s="6">
        <v>43085.040821759263</v>
      </c>
      <c r="Q805" s="12" t="s">
        <v>946</v>
      </c>
      <c r="R805" s="17" t="s">
        <v>948</v>
      </c>
      <c r="S805" s="13" t="s">
        <v>950</v>
      </c>
      <c r="T805" s="11"/>
      <c r="U805" s="10" t="str">
        <f>HYPERLINK("https://pbs.twimg.com/profile_images/1041730517530492928/JLvy_OFv.jpg","View")</f>
        <v>View</v>
      </c>
    </row>
    <row r="806" spans="1:21" ht="30.6">
      <c r="A806" s="6">
        <v>43440.53943287037</v>
      </c>
      <c r="B806" s="7" t="str">
        <f>HYPERLINK("https://twitter.com/informativost5","@informativost5")</f>
        <v>@informativost5</v>
      </c>
      <c r="C806" s="8" t="s">
        <v>2825</v>
      </c>
      <c r="D806" s="9" t="s">
        <v>2826</v>
      </c>
      <c r="E806" s="10" t="str">
        <f>HYPERLINK("https://twitter.com/informativost5/status/1070648244831772673","1070648244831772673")</f>
        <v>1070648244831772673</v>
      </c>
      <c r="F806" s="13" t="s">
        <v>2828</v>
      </c>
      <c r="G806" s="13" t="s">
        <v>2830</v>
      </c>
      <c r="H806" s="11"/>
      <c r="I806" s="14">
        <v>1</v>
      </c>
      <c r="J806" s="14">
        <v>3</v>
      </c>
      <c r="K806" s="15" t="str">
        <f>HYPERLINK("https://about.twitter.com/products/tweetdeck","TweetDeck")</f>
        <v>TweetDeck</v>
      </c>
      <c r="L806" s="14">
        <v>696202</v>
      </c>
      <c r="M806" s="14">
        <v>1234</v>
      </c>
      <c r="N806" s="14">
        <v>3417</v>
      </c>
      <c r="O806" s="19" t="s">
        <v>42</v>
      </c>
      <c r="P806" s="6">
        <v>39720.789826388893</v>
      </c>
      <c r="Q806" s="12" t="s">
        <v>2831</v>
      </c>
      <c r="R806" s="17" t="s">
        <v>2832</v>
      </c>
      <c r="S806" s="13" t="s">
        <v>2833</v>
      </c>
      <c r="T806" s="11"/>
      <c r="U806" s="10" t="str">
        <f>HYPERLINK("https://pbs.twimg.com/profile_images/927916068248739840/uCErGmhm.jpg","View")</f>
        <v>View</v>
      </c>
    </row>
    <row r="807" spans="1:21" ht="30.6">
      <c r="A807" s="6">
        <v>43440.536030092597</v>
      </c>
      <c r="B807" s="7" t="str">
        <f>HYPERLINK("https://twitter.com/mahallerx","@mahallerx")</f>
        <v>@mahallerx</v>
      </c>
      <c r="C807" s="8" t="s">
        <v>3504</v>
      </c>
      <c r="D807" s="9" t="s">
        <v>3505</v>
      </c>
      <c r="E807" s="10" t="str">
        <f>HYPERLINK("https://twitter.com/mahallerx/status/1070647010431303680","1070647010431303680")</f>
        <v>1070647010431303680</v>
      </c>
      <c r="F807" s="11"/>
      <c r="G807" s="11"/>
      <c r="H807" s="11"/>
      <c r="I807" s="14">
        <v>0</v>
      </c>
      <c r="J807" s="14">
        <v>8</v>
      </c>
      <c r="K807" s="15" t="str">
        <f>HYPERLINK("http://twitter.com/download/android","Twitter for Android")</f>
        <v>Twitter for Android</v>
      </c>
      <c r="L807" s="14">
        <v>474</v>
      </c>
      <c r="M807" s="14">
        <v>343</v>
      </c>
      <c r="N807" s="14">
        <v>5</v>
      </c>
      <c r="O807" s="16"/>
      <c r="P807" s="6">
        <v>41933.073796296296</v>
      </c>
      <c r="Q807" s="11"/>
      <c r="R807" s="17" t="s">
        <v>3508</v>
      </c>
      <c r="S807" s="11"/>
      <c r="T807" s="11"/>
      <c r="U807" s="10" t="str">
        <f>HYPERLINK("https://pbs.twimg.com/profile_images/1070628101653233664/Q-tTI286.jpg","View")</f>
        <v>View</v>
      </c>
    </row>
    <row r="808" spans="1:21" ht="20.399999999999999">
      <c r="A808" s="6">
        <v>43440.535162037035</v>
      </c>
      <c r="B808" s="7" t="str">
        <f>HYPERLINK("https://twitter.com/lygofukisoby","@lygofukisoby")</f>
        <v>@lygofukisoby</v>
      </c>
      <c r="C808" s="8" t="s">
        <v>3509</v>
      </c>
      <c r="D808" s="9" t="s">
        <v>3510</v>
      </c>
      <c r="E808" s="10" t="str">
        <f>HYPERLINK("https://twitter.com/lygofukisoby/status/1070646696886046721","1070646696886046721")</f>
        <v>1070646696886046721</v>
      </c>
      <c r="F808" s="11"/>
      <c r="G808" s="13" t="s">
        <v>3512</v>
      </c>
      <c r="H808" s="11"/>
      <c r="I808" s="14">
        <v>0</v>
      </c>
      <c r="J808" s="14">
        <v>0</v>
      </c>
      <c r="K808" s="15" t="str">
        <f>HYPERLINK("https://ifttt.com","IFTTT")</f>
        <v>IFTTT</v>
      </c>
      <c r="L808" s="14">
        <v>52</v>
      </c>
      <c r="M808" s="14">
        <v>79</v>
      </c>
      <c r="N808" s="14">
        <v>3</v>
      </c>
      <c r="O808" s="16"/>
      <c r="P808" s="6">
        <v>41706.167800925927</v>
      </c>
      <c r="Q808" s="12" t="s">
        <v>3514</v>
      </c>
      <c r="R808" s="17" t="s">
        <v>3516</v>
      </c>
      <c r="S808" s="11"/>
      <c r="T808" s="11"/>
      <c r="U808" s="10" t="str">
        <f>HYPERLINK("https://pbs.twimg.com/profile_images/456020719474733056/_aI4ObiR.jpeg","View")</f>
        <v>View</v>
      </c>
    </row>
    <row r="809" spans="1:21" ht="40.799999999999997">
      <c r="A809" s="6">
        <v>43440.534791666665</v>
      </c>
      <c r="B809" s="7" t="str">
        <f>HYPERLINK("https://twitter.com/jatirado","@jatirado")</f>
        <v>@jatirado</v>
      </c>
      <c r="C809" s="8" t="s">
        <v>3517</v>
      </c>
      <c r="D809" s="9" t="s">
        <v>3510</v>
      </c>
      <c r="E809" s="10" t="str">
        <f>HYPERLINK("https://twitter.com/jatirado/status/1070646563175772162","1070646563175772162")</f>
        <v>1070646563175772162</v>
      </c>
      <c r="F809" s="13" t="s">
        <v>3520</v>
      </c>
      <c r="G809" s="13" t="s">
        <v>3521</v>
      </c>
      <c r="H809" s="11"/>
      <c r="I809" s="14">
        <v>3</v>
      </c>
      <c r="J809" s="14">
        <v>1</v>
      </c>
      <c r="K809" s="15" t="str">
        <f>HYPERLINK("https://dlvrit.com/","dlvr.it")</f>
        <v>dlvr.it</v>
      </c>
      <c r="L809" s="14">
        <v>81545</v>
      </c>
      <c r="M809" s="14">
        <v>49760</v>
      </c>
      <c r="N809" s="14">
        <v>1030</v>
      </c>
      <c r="O809" s="16"/>
      <c r="P809" s="6">
        <v>40353.552581018521</v>
      </c>
      <c r="Q809" s="12" t="s">
        <v>29</v>
      </c>
      <c r="R809" s="17" t="s">
        <v>3522</v>
      </c>
      <c r="S809" s="13" t="s">
        <v>3523</v>
      </c>
      <c r="T809" s="11"/>
      <c r="U809" s="10" t="str">
        <f>HYPERLINK("https://pbs.twimg.com/profile_images/485680559742791680/dg68o8vH.jpeg","View")</f>
        <v>View</v>
      </c>
    </row>
    <row r="810" spans="1:21" ht="51">
      <c r="A810" s="6">
        <v>43440.534652777773</v>
      </c>
      <c r="B810" s="7" t="str">
        <f>HYPERLINK("https://twitter.com/numer344","@numer344")</f>
        <v>@numer344</v>
      </c>
      <c r="C810" s="8" t="s">
        <v>3526</v>
      </c>
      <c r="D810" s="9" t="s">
        <v>3527</v>
      </c>
      <c r="E810" s="10" t="str">
        <f>HYPERLINK("https://twitter.com/numer344/status/1070646509539086336","1070646509539086336")</f>
        <v>1070646509539086336</v>
      </c>
      <c r="F810" s="11"/>
      <c r="G810" s="11"/>
      <c r="H810" s="11"/>
      <c r="I810" s="14">
        <v>773</v>
      </c>
      <c r="J810" s="14">
        <v>1702</v>
      </c>
      <c r="K810" s="15" t="str">
        <f t="shared" ref="K810:K811" si="154">HYPERLINK("http://twitter.com/download/android","Twitter for Android")</f>
        <v>Twitter for Android</v>
      </c>
      <c r="L810" s="14">
        <v>48341</v>
      </c>
      <c r="M810" s="14">
        <v>19005</v>
      </c>
      <c r="N810" s="14">
        <v>220</v>
      </c>
      <c r="O810" s="16"/>
      <c r="P810" s="6">
        <v>42913.944537037038</v>
      </c>
      <c r="Q810" s="11"/>
      <c r="R810" s="18"/>
      <c r="S810" s="11"/>
      <c r="T810" s="11"/>
      <c r="U810" s="10" t="str">
        <f>HYPERLINK("https://pbs.twimg.com/profile_images/880028261270638592/VqXmYtU3.jpg","View")</f>
        <v>View</v>
      </c>
    </row>
    <row r="811" spans="1:21" ht="40.799999999999997">
      <c r="A811" s="6">
        <v>43440.533645833333</v>
      </c>
      <c r="B811" s="7" t="str">
        <f>HYPERLINK("https://twitter.com/Esparroqui","@Esparroqui")</f>
        <v>@Esparroqui</v>
      </c>
      <c r="C811" s="8" t="s">
        <v>3528</v>
      </c>
      <c r="D811" s="9" t="s">
        <v>3529</v>
      </c>
      <c r="E811" s="10" t="str">
        <f>HYPERLINK("https://twitter.com/Esparroqui/status/1070646146249474048","1070646146249474048")</f>
        <v>1070646146249474048</v>
      </c>
      <c r="F811" s="11"/>
      <c r="G811" s="13" t="s">
        <v>3530</v>
      </c>
      <c r="H811" s="11"/>
      <c r="I811" s="14">
        <v>132</v>
      </c>
      <c r="J811" s="14">
        <v>163</v>
      </c>
      <c r="K811" s="15" t="str">
        <f t="shared" si="154"/>
        <v>Twitter for Android</v>
      </c>
      <c r="L811" s="14">
        <v>46467</v>
      </c>
      <c r="M811" s="14">
        <v>19051</v>
      </c>
      <c r="N811" s="14">
        <v>318</v>
      </c>
      <c r="O811" s="16"/>
      <c r="P811" s="6">
        <v>40877.700613425928</v>
      </c>
      <c r="Q811" s="12" t="s">
        <v>3533</v>
      </c>
      <c r="R811" s="17" t="s">
        <v>3534</v>
      </c>
      <c r="S811" s="13" t="s">
        <v>3535</v>
      </c>
      <c r="T811" s="11"/>
      <c r="U811" s="10" t="str">
        <f>HYPERLINK("https://pbs.twimg.com/profile_images/1017537354955882497/9PtegggA.jpg","View")</f>
        <v>View</v>
      </c>
    </row>
    <row r="812" spans="1:21" ht="30.6">
      <c r="A812" s="6">
        <v>43440.533101851848</v>
      </c>
      <c r="B812" s="7" t="str">
        <f>HYPERLINK("https://twitter.com/Elenablowparty","@Elenablowparty")</f>
        <v>@Elenablowparty</v>
      </c>
      <c r="C812" s="8" t="s">
        <v>3538</v>
      </c>
      <c r="D812" s="9" t="s">
        <v>3539</v>
      </c>
      <c r="E812" s="10" t="str">
        <f>HYPERLINK("https://twitter.com/Elenablowparty/status/1070645948345409536","1070645948345409536")</f>
        <v>1070645948345409536</v>
      </c>
      <c r="F812" s="11"/>
      <c r="G812" s="11"/>
      <c r="H812" s="11"/>
      <c r="I812" s="14">
        <v>0</v>
      </c>
      <c r="J812" s="14">
        <v>4</v>
      </c>
      <c r="K812" s="15" t="str">
        <f t="shared" ref="K812:K813" si="155">HYPERLINK("http://twitter.com","Twitter Web Client")</f>
        <v>Twitter Web Client</v>
      </c>
      <c r="L812" s="14">
        <v>586</v>
      </c>
      <c r="M812" s="14">
        <v>278</v>
      </c>
      <c r="N812" s="14">
        <v>9</v>
      </c>
      <c r="O812" s="16"/>
      <c r="P812" s="6">
        <v>40952.599178240736</v>
      </c>
      <c r="Q812" s="11"/>
      <c r="R812" s="17" t="s">
        <v>3541</v>
      </c>
      <c r="S812" s="11"/>
      <c r="T812" s="11"/>
      <c r="U812" s="10" t="str">
        <f>HYPERLINK("https://pbs.twimg.com/profile_images/1042196344922726400/TP0CgsNn.jpg","View")</f>
        <v>View</v>
      </c>
    </row>
    <row r="813" spans="1:21" ht="51">
      <c r="A813" s="6">
        <v>43440.531898148147</v>
      </c>
      <c r="B813" s="7" t="str">
        <f>HYPERLINK("https://twitter.com/asnerp","@asnerp")</f>
        <v>@asnerp</v>
      </c>
      <c r="C813" s="8" t="s">
        <v>2834</v>
      </c>
      <c r="D813" s="9" t="s">
        <v>2835</v>
      </c>
      <c r="E813" s="10" t="str">
        <f>HYPERLINK("https://twitter.com/asnerp/status/1070645512766922752","1070645512766922752")</f>
        <v>1070645512766922752</v>
      </c>
      <c r="F813" s="13" t="s">
        <v>2836</v>
      </c>
      <c r="G813" s="13" t="s">
        <v>2837</v>
      </c>
      <c r="H813" s="11"/>
      <c r="I813" s="14">
        <v>1</v>
      </c>
      <c r="J813" s="14">
        <v>0</v>
      </c>
      <c r="K813" s="15" t="str">
        <f t="shared" si="155"/>
        <v>Twitter Web Client</v>
      </c>
      <c r="L813" s="14">
        <v>268</v>
      </c>
      <c r="M813" s="14">
        <v>229</v>
      </c>
      <c r="N813" s="14">
        <v>20</v>
      </c>
      <c r="O813" s="16"/>
      <c r="P813" s="6">
        <v>41544.370497685188</v>
      </c>
      <c r="Q813" s="12" t="s">
        <v>181</v>
      </c>
      <c r="R813" s="17" t="s">
        <v>2838</v>
      </c>
      <c r="S813" s="13" t="s">
        <v>2839</v>
      </c>
      <c r="T813" s="11"/>
      <c r="U813" s="10" t="str">
        <f>HYPERLINK("https://pbs.twimg.com/profile_images/459579102769344513/qS_4VkBl.png","View")</f>
        <v>View</v>
      </c>
    </row>
    <row r="814" spans="1:21" ht="81.599999999999994">
      <c r="A814" s="6">
        <v>43440.531145833331</v>
      </c>
      <c r="B814" s="7" t="str">
        <f>HYPERLINK("https://twitter.com/VivasMattera10","@VivasMattera10")</f>
        <v>@VivasMattera10</v>
      </c>
      <c r="C814" s="8" t="s">
        <v>2840</v>
      </c>
      <c r="D814" s="9" t="s">
        <v>2841</v>
      </c>
      <c r="E814" s="10" t="str">
        <f>HYPERLINK("https://twitter.com/VivasMattera10/status/1070645239185063936","1070645239185063936")</f>
        <v>1070645239185063936</v>
      </c>
      <c r="F814" s="13" t="s">
        <v>2844</v>
      </c>
      <c r="G814" s="13" t="s">
        <v>2845</v>
      </c>
      <c r="H814" s="11"/>
      <c r="I814" s="14">
        <v>1</v>
      </c>
      <c r="J814" s="14">
        <v>2</v>
      </c>
      <c r="K814" s="15" t="str">
        <f>HYPERLINK("http://twitter.com/download/iphone","Twitter for iPhone")</f>
        <v>Twitter for iPhone</v>
      </c>
      <c r="L814" s="14">
        <v>5230</v>
      </c>
      <c r="M814" s="14">
        <v>4088</v>
      </c>
      <c r="N814" s="14">
        <v>61</v>
      </c>
      <c r="O814" s="16"/>
      <c r="P814" s="6">
        <v>40219.834513888891</v>
      </c>
      <c r="Q814" s="11"/>
      <c r="R814" s="17" t="s">
        <v>2848</v>
      </c>
      <c r="S814" s="11"/>
      <c r="T814" s="11"/>
      <c r="U814" s="10" t="str">
        <f>HYPERLINK("https://pbs.twimg.com/profile_images/1013488496055668736/zX_qOkYj.jpg","View")</f>
        <v>View</v>
      </c>
    </row>
    <row r="815" spans="1:21" ht="20.399999999999999">
      <c r="A815" s="6">
        <v>43440.530636574069</v>
      </c>
      <c r="B815" s="7" t="str">
        <f>HYPERLINK("https://twitter.com/davidwalsh92","@davidwalsh92")</f>
        <v>@davidwalsh92</v>
      </c>
      <c r="C815" s="8" t="s">
        <v>3547</v>
      </c>
      <c r="D815" s="9" t="s">
        <v>3548</v>
      </c>
      <c r="E815" s="10" t="str">
        <f>HYPERLINK("https://twitter.com/davidwalsh92/status/1070645055948578818","1070645055948578818")</f>
        <v>1070645055948578818</v>
      </c>
      <c r="F815" s="11"/>
      <c r="G815" s="13" t="s">
        <v>3549</v>
      </c>
      <c r="H815" s="11"/>
      <c r="I815" s="14">
        <v>0</v>
      </c>
      <c r="J815" s="14">
        <v>1</v>
      </c>
      <c r="K815" s="15" t="str">
        <f>HYPERLINK("http://twitter.com/download/android","Twitter for Android")</f>
        <v>Twitter for Android</v>
      </c>
      <c r="L815" s="14">
        <v>338</v>
      </c>
      <c r="M815" s="14">
        <v>775</v>
      </c>
      <c r="N815" s="14">
        <v>1</v>
      </c>
      <c r="O815" s="16"/>
      <c r="P815" s="6">
        <v>40946.746365740742</v>
      </c>
      <c r="Q815" s="12" t="s">
        <v>3550</v>
      </c>
      <c r="R815" s="17" t="s">
        <v>3551</v>
      </c>
      <c r="S815" s="11"/>
      <c r="T815" s="11"/>
      <c r="U815" s="10" t="str">
        <f>HYPERLINK("https://pbs.twimg.com/profile_images/1030234392789172224/Nr9oRr72.jpg","View")</f>
        <v>View</v>
      </c>
    </row>
    <row r="816" spans="1:21" ht="51">
      <c r="A816" s="6">
        <v>43440.530347222222</v>
      </c>
      <c r="B816" s="7" t="str">
        <f>HYPERLINK("https://twitter.com/quelinabcn","@quelinabcn")</f>
        <v>@quelinabcn</v>
      </c>
      <c r="C816" s="8" t="s">
        <v>2850</v>
      </c>
      <c r="D816" s="9" t="s">
        <v>2851</v>
      </c>
      <c r="E816" s="10" t="str">
        <f>HYPERLINK("https://twitter.com/quelinabcn/status/1070644952533790721","1070644952533790721")</f>
        <v>1070644952533790721</v>
      </c>
      <c r="F816" s="11"/>
      <c r="G816" s="11"/>
      <c r="H816" s="11"/>
      <c r="I816" s="14">
        <v>0</v>
      </c>
      <c r="J816" s="14">
        <v>0</v>
      </c>
      <c r="K816" s="15" t="str">
        <f>HYPERLINK("https://mobile.twitter.com","Twitter Lite")</f>
        <v>Twitter Lite</v>
      </c>
      <c r="L816" s="14">
        <v>38</v>
      </c>
      <c r="M816" s="14">
        <v>87</v>
      </c>
      <c r="N816" s="14">
        <v>0</v>
      </c>
      <c r="O816" s="16"/>
      <c r="P816" s="6">
        <v>40466.558368055557</v>
      </c>
      <c r="Q816" s="12" t="s">
        <v>1785</v>
      </c>
      <c r="R816" s="17" t="s">
        <v>2852</v>
      </c>
      <c r="S816" s="11"/>
      <c r="T816" s="11"/>
      <c r="U816" s="10" t="str">
        <f>HYPERLINK("https://pbs.twimg.com/profile_images/923253483230384128/1d12Ln9h.jpg","View")</f>
        <v>View</v>
      </c>
    </row>
    <row r="817" spans="1:21" ht="30.6">
      <c r="A817" s="6">
        <v>43440.53025462963</v>
      </c>
      <c r="B817" s="7" t="str">
        <f>HYPERLINK("https://twitter.com/oskilla_pm","@oskilla_pm")</f>
        <v>@oskilla_pm</v>
      </c>
      <c r="C817" s="8" t="s">
        <v>2855</v>
      </c>
      <c r="D817" s="9" t="s">
        <v>2856</v>
      </c>
      <c r="E817" s="10" t="str">
        <f>HYPERLINK("https://twitter.com/oskilla_pm/status/1070644916538224641","1070644916538224641")</f>
        <v>1070644916538224641</v>
      </c>
      <c r="F817" s="12" t="s">
        <v>2857</v>
      </c>
      <c r="G817" s="11"/>
      <c r="H817" s="11"/>
      <c r="I817" s="14">
        <v>0</v>
      </c>
      <c r="J817" s="14">
        <v>0</v>
      </c>
      <c r="K817" s="15" t="str">
        <f t="shared" ref="K817:K819" si="156">HYPERLINK("http://twitter.com/download/android","Twitter for Android")</f>
        <v>Twitter for Android</v>
      </c>
      <c r="L817" s="14">
        <v>89</v>
      </c>
      <c r="M817" s="14">
        <v>1124</v>
      </c>
      <c r="N817" s="14">
        <v>0</v>
      </c>
      <c r="O817" s="16"/>
      <c r="P817" s="6">
        <v>42251.604548611111</v>
      </c>
      <c r="Q817" s="11"/>
      <c r="R817" s="18"/>
      <c r="S817" s="11"/>
      <c r="T817" s="11"/>
      <c r="U817" s="10" t="str">
        <f>HYPERLINK("https://pbs.twimg.com/profile_images/1070407185799229440/knCrnNlm.jpg","View")</f>
        <v>View</v>
      </c>
    </row>
    <row r="818" spans="1:21" ht="20.399999999999999">
      <c r="A818" s="6">
        <v>43440.529675925922</v>
      </c>
      <c r="B818" s="7" t="str">
        <f>HYPERLINK("https://twitter.com/erregood","@erregood")</f>
        <v>@erregood</v>
      </c>
      <c r="C818" s="8" t="s">
        <v>314</v>
      </c>
      <c r="D818" s="9" t="s">
        <v>3555</v>
      </c>
      <c r="E818" s="10" t="str">
        <f>HYPERLINK("https://twitter.com/erregood/status/1070644705849982977","1070644705849982977")</f>
        <v>1070644705849982977</v>
      </c>
      <c r="F818" s="11"/>
      <c r="G818" s="13" t="s">
        <v>3556</v>
      </c>
      <c r="H818" s="11"/>
      <c r="I818" s="14">
        <v>1</v>
      </c>
      <c r="J818" s="14">
        <v>3</v>
      </c>
      <c r="K818" s="15" t="str">
        <f t="shared" si="156"/>
        <v>Twitter for Android</v>
      </c>
      <c r="L818" s="14">
        <v>622</v>
      </c>
      <c r="M818" s="14">
        <v>525</v>
      </c>
      <c r="N818" s="14">
        <v>1</v>
      </c>
      <c r="O818" s="16"/>
      <c r="P818" s="6">
        <v>41366.862928240742</v>
      </c>
      <c r="Q818" s="11"/>
      <c r="R818" s="18"/>
      <c r="S818" s="11"/>
      <c r="T818" s="11"/>
      <c r="U818" s="10" t="str">
        <f>HYPERLINK("https://pbs.twimg.com/profile_images/1067728172173664256/IkllR3nB.jpg","View")</f>
        <v>View</v>
      </c>
    </row>
    <row r="819" spans="1:21" ht="30.6">
      <c r="A819" s="6">
        <v>43440.529652777783</v>
      </c>
      <c r="B819" s="7" t="str">
        <f>HYPERLINK("https://twitter.com/paco_vergara","@paco_vergara")</f>
        <v>@paco_vergara</v>
      </c>
      <c r="C819" s="8" t="s">
        <v>3557</v>
      </c>
      <c r="D819" s="9" t="s">
        <v>2347</v>
      </c>
      <c r="E819" s="10" t="str">
        <f>HYPERLINK("https://twitter.com/paco_vergara/status/1070644700607078401","1070644700607078401")</f>
        <v>1070644700607078401</v>
      </c>
      <c r="F819" s="13" t="s">
        <v>2349</v>
      </c>
      <c r="G819" s="11"/>
      <c r="H819" s="11"/>
      <c r="I819" s="14">
        <v>0</v>
      </c>
      <c r="J819" s="14">
        <v>0</v>
      </c>
      <c r="K819" s="15" t="str">
        <f t="shared" si="156"/>
        <v>Twitter for Android</v>
      </c>
      <c r="L819" s="14">
        <v>2977</v>
      </c>
      <c r="M819" s="14">
        <v>3098</v>
      </c>
      <c r="N819" s="14">
        <v>39</v>
      </c>
      <c r="O819" s="16"/>
      <c r="P819" s="6">
        <v>40997.849907407406</v>
      </c>
      <c r="Q819" s="12" t="s">
        <v>449</v>
      </c>
      <c r="R819" s="17" t="s">
        <v>3558</v>
      </c>
      <c r="S819" s="13" t="s">
        <v>3559</v>
      </c>
      <c r="T819" s="11"/>
      <c r="U819" s="10" t="str">
        <f>HYPERLINK("https://pbs.twimg.com/profile_images/1067750331109597184/kJ5Pg0WA.jpg","View")</f>
        <v>View</v>
      </c>
    </row>
    <row r="820" spans="1:21" ht="40.799999999999997">
      <c r="A820" s="6">
        <v>43440.526747685188</v>
      </c>
      <c r="B820" s="7" t="str">
        <f>HYPERLINK("https://twitter.com/miguelangeltosc","@miguelangeltosc")</f>
        <v>@miguelangeltosc</v>
      </c>
      <c r="C820" s="8" t="s">
        <v>2860</v>
      </c>
      <c r="D820" s="9" t="s">
        <v>2861</v>
      </c>
      <c r="E820" s="10" t="str">
        <f>HYPERLINK("https://twitter.com/miguelangeltosc/status/1070643645999734784","1070643645999734784")</f>
        <v>1070643645999734784</v>
      </c>
      <c r="F820" s="11"/>
      <c r="G820" s="13" t="s">
        <v>2863</v>
      </c>
      <c r="H820" s="11"/>
      <c r="I820" s="14">
        <v>3</v>
      </c>
      <c r="J820" s="14">
        <v>3</v>
      </c>
      <c r="K820" s="15" t="str">
        <f>HYPERLINK("http://twitter.com/download/iphone","Twitter for iPhone")</f>
        <v>Twitter for iPhone</v>
      </c>
      <c r="L820" s="14">
        <v>986</v>
      </c>
      <c r="M820" s="14">
        <v>1240</v>
      </c>
      <c r="N820" s="14">
        <v>14</v>
      </c>
      <c r="O820" s="16"/>
      <c r="P820" s="6">
        <v>40610.387858796297</v>
      </c>
      <c r="Q820" s="12" t="s">
        <v>2866</v>
      </c>
      <c r="R820" s="17" t="s">
        <v>2867</v>
      </c>
      <c r="S820" s="11"/>
      <c r="T820" s="11"/>
      <c r="U820" s="10" t="str">
        <f>HYPERLINK("https://pbs.twimg.com/profile_images/1033786094356185088/wsgiwwgw.jpg","View")</f>
        <v>View</v>
      </c>
    </row>
    <row r="821" spans="1:21" ht="30.6">
      <c r="A821" s="6">
        <v>43440.526574074072</v>
      </c>
      <c r="B821" s="7" t="str">
        <f>HYPERLINK("https://twitter.com/mcyava","@mcyava")</f>
        <v>@mcyava</v>
      </c>
      <c r="C821" s="8" t="s">
        <v>2868</v>
      </c>
      <c r="D821" s="9" t="s">
        <v>2869</v>
      </c>
      <c r="E821" s="10" t="str">
        <f>HYPERLINK("https://twitter.com/mcyava/status/1070643583705931777","1070643583705931777")</f>
        <v>1070643583705931777</v>
      </c>
      <c r="F821" s="13" t="s">
        <v>2873</v>
      </c>
      <c r="G821" s="11"/>
      <c r="H821" s="11"/>
      <c r="I821" s="14">
        <v>33</v>
      </c>
      <c r="J821" s="14">
        <v>23</v>
      </c>
      <c r="K821" s="15" t="str">
        <f>HYPERLINK("http://twitter.com/download/android","Twitter for Android")</f>
        <v>Twitter for Android</v>
      </c>
      <c r="L821" s="14">
        <v>16630</v>
      </c>
      <c r="M821" s="14">
        <v>12849</v>
      </c>
      <c r="N821" s="14">
        <v>90</v>
      </c>
      <c r="O821" s="16"/>
      <c r="P821" s="6">
        <v>40819.440150462964</v>
      </c>
      <c r="Q821" s="12" t="s">
        <v>137</v>
      </c>
      <c r="R821" s="17" t="s">
        <v>2877</v>
      </c>
      <c r="S821" s="11"/>
      <c r="T821" s="11"/>
      <c r="U821" s="10" t="str">
        <f>HYPERLINK("https://pbs.twimg.com/profile_images/957202578210738176/msS95mss.jpg","View")</f>
        <v>View</v>
      </c>
    </row>
    <row r="822" spans="1:21" ht="40.799999999999997">
      <c r="A822" s="6">
        <v>43440.524768518517</v>
      </c>
      <c r="B822" s="7" t="str">
        <f>HYPERLINK("https://twitter.com/miguelangeltosc","@miguelangeltosc")</f>
        <v>@miguelangeltosc</v>
      </c>
      <c r="C822" s="8" t="s">
        <v>2860</v>
      </c>
      <c r="D822" s="9" t="s">
        <v>2878</v>
      </c>
      <c r="E822" s="10" t="str">
        <f>HYPERLINK("https://twitter.com/miguelangeltosc/status/1070642927959973888","1070642927959973888")</f>
        <v>1070642927959973888</v>
      </c>
      <c r="F822" s="11"/>
      <c r="G822" s="11"/>
      <c r="H822" s="11"/>
      <c r="I822" s="14">
        <v>0</v>
      </c>
      <c r="J822" s="14">
        <v>0</v>
      </c>
      <c r="K822" s="15" t="str">
        <f>HYPERLINK("http://twitter.com/download/iphone","Twitter for iPhone")</f>
        <v>Twitter for iPhone</v>
      </c>
      <c r="L822" s="14">
        <v>986</v>
      </c>
      <c r="M822" s="14">
        <v>1240</v>
      </c>
      <c r="N822" s="14">
        <v>14</v>
      </c>
      <c r="O822" s="16"/>
      <c r="P822" s="6">
        <v>40610.387858796297</v>
      </c>
      <c r="Q822" s="12" t="s">
        <v>2866</v>
      </c>
      <c r="R822" s="17" t="s">
        <v>2867</v>
      </c>
      <c r="S822" s="11"/>
      <c r="T822" s="11"/>
      <c r="U822" s="10" t="str">
        <f>HYPERLINK("https://pbs.twimg.com/profile_images/1033786094356185088/wsgiwwgw.jpg","View")</f>
        <v>View</v>
      </c>
    </row>
    <row r="823" spans="1:21" ht="102">
      <c r="A823" s="6">
        <v>43440.524722222224</v>
      </c>
      <c r="B823" s="7" t="str">
        <f>HYPERLINK("https://twitter.com/Marmitaco55","@Marmitaco55")</f>
        <v>@Marmitaco55</v>
      </c>
      <c r="C823" s="8" t="s">
        <v>2879</v>
      </c>
      <c r="D823" s="9" t="s">
        <v>2880</v>
      </c>
      <c r="E823" s="10" t="str">
        <f>HYPERLINK("https://twitter.com/Marmitaco55/status/1070642911832883200","1070642911832883200")</f>
        <v>1070642911832883200</v>
      </c>
      <c r="F823" s="13" t="s">
        <v>1853</v>
      </c>
      <c r="G823" s="13" t="s">
        <v>1835</v>
      </c>
      <c r="H823" s="11"/>
      <c r="I823" s="14">
        <v>0</v>
      </c>
      <c r="J823" s="14">
        <v>0</v>
      </c>
      <c r="K823" s="15" t="str">
        <f>HYPERLINK("http://twitter.com","Twitter Web Client")</f>
        <v>Twitter Web Client</v>
      </c>
      <c r="L823" s="14">
        <v>56</v>
      </c>
      <c r="M823" s="14">
        <v>63</v>
      </c>
      <c r="N823" s="14">
        <v>0</v>
      </c>
      <c r="O823" s="16"/>
      <c r="P823" s="6">
        <v>41703.778194444443</v>
      </c>
      <c r="Q823" s="12" t="s">
        <v>969</v>
      </c>
      <c r="R823" s="17" t="s">
        <v>2881</v>
      </c>
      <c r="S823" s="11"/>
      <c r="T823" s="11"/>
      <c r="U823" s="10" t="str">
        <f>HYPERLINK("https://pbs.twimg.com/profile_images/925370412107739136/G6MSkHR2.jpg","View")</f>
        <v>View</v>
      </c>
    </row>
    <row r="824" spans="1:21" ht="40.799999999999997">
      <c r="A824" s="6">
        <v>43440.5237037037</v>
      </c>
      <c r="B824" s="7" t="str">
        <f>HYPERLINK("https://twitter.com/PdeSamos","@PdeSamos")</f>
        <v>@PdeSamos</v>
      </c>
      <c r="C824" s="8" t="s">
        <v>794</v>
      </c>
      <c r="D824" s="9" t="s">
        <v>3564</v>
      </c>
      <c r="E824" s="10" t="str">
        <f>HYPERLINK("https://twitter.com/PdeSamos/status/1070642542151122944","1070642542151122944")</f>
        <v>1070642542151122944</v>
      </c>
      <c r="F824" s="13" t="s">
        <v>3565</v>
      </c>
      <c r="G824" s="11"/>
      <c r="H824" s="11"/>
      <c r="I824" s="14">
        <v>0</v>
      </c>
      <c r="J824" s="14">
        <v>1</v>
      </c>
      <c r="K824" s="15" t="str">
        <f>HYPERLINK("http://republico.ddns.net","App Libertad PdeSamos")</f>
        <v>App Libertad PdeSamos</v>
      </c>
      <c r="L824" s="14">
        <v>5398</v>
      </c>
      <c r="M824" s="14">
        <v>5441</v>
      </c>
      <c r="N824" s="14">
        <v>12</v>
      </c>
      <c r="O824" s="16"/>
      <c r="P824" s="6">
        <v>42889.820567129631</v>
      </c>
      <c r="Q824" s="12" t="s">
        <v>800</v>
      </c>
      <c r="R824" s="17" t="s">
        <v>801</v>
      </c>
      <c r="S824" s="11"/>
      <c r="T824" s="11"/>
      <c r="U824" s="10" t="str">
        <f>HYPERLINK("https://pbs.twimg.com/profile_images/871063742003511296/xK2IYbrO.jpg","View")</f>
        <v>View</v>
      </c>
    </row>
    <row r="825" spans="1:21" ht="81.599999999999994">
      <c r="A825" s="6">
        <v>43440.522187499999</v>
      </c>
      <c r="B825" s="7" t="str">
        <f>HYPERLINK("https://twitter.com/ElDoctorMabuse","@ElDoctorMabuse")</f>
        <v>@ElDoctorMabuse</v>
      </c>
      <c r="C825" s="8" t="s">
        <v>2883</v>
      </c>
      <c r="D825" s="9" t="s">
        <v>2885</v>
      </c>
      <c r="E825" s="10" t="str">
        <f>HYPERLINK("https://twitter.com/ElDoctorMabuse/status/1070641992990896128","1070641992990896128")</f>
        <v>1070641992990896128</v>
      </c>
      <c r="F825" s="12" t="s">
        <v>1244</v>
      </c>
      <c r="G825" s="11"/>
      <c r="H825" s="11"/>
      <c r="I825" s="14">
        <v>0</v>
      </c>
      <c r="J825" s="14">
        <v>0</v>
      </c>
      <c r="K825" s="15" t="str">
        <f>HYPERLINK("http://twitter.com/#!/download/ipad","Twitter for iPad")</f>
        <v>Twitter for iPad</v>
      </c>
      <c r="L825" s="14">
        <v>250</v>
      </c>
      <c r="M825" s="14">
        <v>555</v>
      </c>
      <c r="N825" s="14">
        <v>11</v>
      </c>
      <c r="O825" s="16"/>
      <c r="P825" s="6">
        <v>40273.293067129627</v>
      </c>
      <c r="Q825" s="12" t="s">
        <v>2886</v>
      </c>
      <c r="R825" s="17" t="s">
        <v>2887</v>
      </c>
      <c r="S825" s="13" t="s">
        <v>2888</v>
      </c>
      <c r="T825" s="11"/>
      <c r="U825" s="10" t="str">
        <f>HYPERLINK("https://pbs.twimg.com/profile_images/442391428069879808/46XrmQAl.jpeg","View")</f>
        <v>View</v>
      </c>
    </row>
    <row r="826" spans="1:21" ht="102">
      <c r="A826" s="6">
        <v>43440.521909722222</v>
      </c>
      <c r="B826" s="7" t="str">
        <f>HYPERLINK("https://twitter.com/MarIntroini","@MarIntroini")</f>
        <v>@MarIntroini</v>
      </c>
      <c r="C826" s="8" t="s">
        <v>2889</v>
      </c>
      <c r="D826" s="9" t="s">
        <v>2890</v>
      </c>
      <c r="E826" s="10" t="str">
        <f>HYPERLINK("https://twitter.com/MarIntroini/status/1070641891048337408","1070641891048337408")</f>
        <v>1070641891048337408</v>
      </c>
      <c r="F826" s="13" t="s">
        <v>2056</v>
      </c>
      <c r="G826" s="13" t="s">
        <v>2057</v>
      </c>
      <c r="H826" s="11"/>
      <c r="I826" s="14">
        <v>0</v>
      </c>
      <c r="J826" s="14">
        <v>0</v>
      </c>
      <c r="K826" s="15" t="str">
        <f>HYPERLINK("http://twitter.com","Twitter Web Client")</f>
        <v>Twitter Web Client</v>
      </c>
      <c r="L826" s="14">
        <v>1724</v>
      </c>
      <c r="M826" s="14">
        <v>554</v>
      </c>
      <c r="N826" s="14">
        <v>138</v>
      </c>
      <c r="O826" s="16"/>
      <c r="P826" s="6">
        <v>42146.891689814816</v>
      </c>
      <c r="Q826" s="12" t="s">
        <v>2895</v>
      </c>
      <c r="R826" s="17" t="s">
        <v>2896</v>
      </c>
      <c r="S826" s="13" t="s">
        <v>2897</v>
      </c>
      <c r="T826" s="11"/>
      <c r="U826" s="10" t="str">
        <f>HYPERLINK("https://pbs.twimg.com/profile_images/919845473971851265/A1XsYjzh.jpg","View")</f>
        <v>View</v>
      </c>
    </row>
    <row r="827" spans="1:21" ht="51">
      <c r="A827" s="6">
        <v>43440.520358796297</v>
      </c>
      <c r="B827" s="7" t="str">
        <f>HYPERLINK("https://twitter.com/iarsuaga","@iarsuaga")</f>
        <v>@iarsuaga</v>
      </c>
      <c r="C827" s="8" t="s">
        <v>2898</v>
      </c>
      <c r="D827" s="9" t="s">
        <v>1630</v>
      </c>
      <c r="E827" s="10" t="str">
        <f>HYPERLINK("https://twitter.com/iarsuaga/status/1070641330924199936","1070641330924199936")</f>
        <v>1070641330924199936</v>
      </c>
      <c r="F827" s="13" t="s">
        <v>1631</v>
      </c>
      <c r="G827" s="11"/>
      <c r="H827" s="11"/>
      <c r="I827" s="14">
        <v>18</v>
      </c>
      <c r="J827" s="14">
        <v>18</v>
      </c>
      <c r="K827" s="15" t="str">
        <f>HYPERLINK("http://twitter.com/download/android","Twitter for Android")</f>
        <v>Twitter for Android</v>
      </c>
      <c r="L827" s="14">
        <v>20745</v>
      </c>
      <c r="M827" s="14">
        <v>1923</v>
      </c>
      <c r="N827" s="14">
        <v>347</v>
      </c>
      <c r="O827" s="19" t="s">
        <v>42</v>
      </c>
      <c r="P827" s="6">
        <v>39640.030960648146</v>
      </c>
      <c r="Q827" s="12" t="s">
        <v>119</v>
      </c>
      <c r="R827" s="17" t="s">
        <v>2899</v>
      </c>
      <c r="S827" s="13" t="s">
        <v>2900</v>
      </c>
      <c r="T827" s="11"/>
      <c r="U827" s="10" t="str">
        <f>HYPERLINK("https://pbs.twimg.com/profile_images/1009905933017931776/1LEFB4OS.jpg","View")</f>
        <v>View</v>
      </c>
    </row>
    <row r="828" spans="1:21" ht="51">
      <c r="A828" s="6">
        <v>43440.519930555558</v>
      </c>
      <c r="B828" s="7" t="str">
        <f>HYPERLINK("https://twitter.com/MarIntroini","@MarIntroini")</f>
        <v>@MarIntroini</v>
      </c>
      <c r="C828" s="8" t="s">
        <v>2889</v>
      </c>
      <c r="D828" s="9" t="s">
        <v>2901</v>
      </c>
      <c r="E828" s="10" t="str">
        <f>HYPERLINK("https://twitter.com/MarIntroini/status/1070641175651082240","1070641175651082240")</f>
        <v>1070641175651082240</v>
      </c>
      <c r="F828" s="13" t="s">
        <v>2902</v>
      </c>
      <c r="G828" s="11"/>
      <c r="H828" s="11"/>
      <c r="I828" s="14">
        <v>0</v>
      </c>
      <c r="J828" s="14">
        <v>0</v>
      </c>
      <c r="K828" s="15" t="str">
        <f>HYPERLINK("http://twitter.com","Twitter Web Client")</f>
        <v>Twitter Web Client</v>
      </c>
      <c r="L828" s="14">
        <v>1724</v>
      </c>
      <c r="M828" s="14">
        <v>554</v>
      </c>
      <c r="N828" s="14">
        <v>138</v>
      </c>
      <c r="O828" s="16"/>
      <c r="P828" s="6">
        <v>42146.891689814816</v>
      </c>
      <c r="Q828" s="12" t="s">
        <v>2895</v>
      </c>
      <c r="R828" s="17" t="s">
        <v>2896</v>
      </c>
      <c r="S828" s="13" t="s">
        <v>2897</v>
      </c>
      <c r="T828" s="11"/>
      <c r="U828" s="10" t="str">
        <f>HYPERLINK("https://pbs.twimg.com/profile_images/919845473971851265/A1XsYjzh.jpg","View")</f>
        <v>View</v>
      </c>
    </row>
    <row r="829" spans="1:21" ht="51">
      <c r="A829" s="6">
        <v>43440.519212962958</v>
      </c>
      <c r="B829" s="7" t="str">
        <f>HYPERLINK("https://twitter.com/karlseta_2","@karlseta_2")</f>
        <v>@karlseta_2</v>
      </c>
      <c r="C829" s="8" t="s">
        <v>2907</v>
      </c>
      <c r="D829" s="9" t="s">
        <v>2908</v>
      </c>
      <c r="E829" s="10" t="str">
        <f>HYPERLINK("https://twitter.com/karlseta_2/status/1070640916157947904","1070640916157947904")</f>
        <v>1070640916157947904</v>
      </c>
      <c r="F829" s="13" t="s">
        <v>2911</v>
      </c>
      <c r="G829" s="11"/>
      <c r="H829" s="11"/>
      <c r="I829" s="14">
        <v>2</v>
      </c>
      <c r="J829" s="14">
        <v>2</v>
      </c>
      <c r="K829" s="15" t="str">
        <f t="shared" ref="K829:K830" si="157">HYPERLINK("http://twitter.com/download/android","Twitter for Android")</f>
        <v>Twitter for Android</v>
      </c>
      <c r="L829" s="14">
        <v>1237</v>
      </c>
      <c r="M829" s="14">
        <v>1135</v>
      </c>
      <c r="N829" s="14">
        <v>0</v>
      </c>
      <c r="O829" s="16"/>
      <c r="P829" s="6">
        <v>43209.593599537038</v>
      </c>
      <c r="Q829" s="12" t="s">
        <v>2912</v>
      </c>
      <c r="R829" s="17" t="s">
        <v>2913</v>
      </c>
      <c r="S829" s="11"/>
      <c r="T829" s="11"/>
      <c r="U829" s="10" t="str">
        <f>HYPERLINK("https://pbs.twimg.com/profile_images/1057562733988798464/NVHu_6Bc.jpg","View")</f>
        <v>View</v>
      </c>
    </row>
    <row r="830" spans="1:21" ht="30.6">
      <c r="A830" s="6">
        <v>43440.515046296292</v>
      </c>
      <c r="B830" s="7" t="str">
        <f>HYPERLINK("https://twitter.com/JrobledoJavier","@JrobledoJavier")</f>
        <v>@JrobledoJavier</v>
      </c>
      <c r="C830" s="8" t="s">
        <v>2914</v>
      </c>
      <c r="D830" s="9" t="s">
        <v>2915</v>
      </c>
      <c r="E830" s="10" t="str">
        <f>HYPERLINK("https://twitter.com/JrobledoJavier/status/1070639403951902726","1070639403951902726")</f>
        <v>1070639403951902726</v>
      </c>
      <c r="F830" s="13" t="s">
        <v>2916</v>
      </c>
      <c r="G830" s="11"/>
      <c r="H830" s="11"/>
      <c r="I830" s="14">
        <v>0</v>
      </c>
      <c r="J830" s="14">
        <v>0</v>
      </c>
      <c r="K830" s="15" t="str">
        <f t="shared" si="157"/>
        <v>Twitter for Android</v>
      </c>
      <c r="L830" s="14">
        <v>164</v>
      </c>
      <c r="M830" s="14">
        <v>511</v>
      </c>
      <c r="N830" s="14">
        <v>1</v>
      </c>
      <c r="O830" s="16"/>
      <c r="P830" s="6">
        <v>41691.740902777776</v>
      </c>
      <c r="Q830" s="11"/>
      <c r="R830" s="18"/>
      <c r="S830" s="11"/>
      <c r="T830" s="11"/>
      <c r="U830" s="10" t="str">
        <f>HYPERLINK("https://pbs.twimg.com/profile_images/436910002708946944/kkYQrwQC.jpeg","View")</f>
        <v>View</v>
      </c>
    </row>
    <row r="831" spans="1:21" ht="40.799999999999997">
      <c r="A831" s="6">
        <v>43440.512928240743</v>
      </c>
      <c r="B831" s="7" t="str">
        <f>HYPERLINK("https://twitter.com/GripauG","@GripauG")</f>
        <v>@GripauG</v>
      </c>
      <c r="C831" s="8" t="s">
        <v>154</v>
      </c>
      <c r="D831" s="9" t="s">
        <v>2922</v>
      </c>
      <c r="E831" s="10" t="str">
        <f>HYPERLINK("https://twitter.com/GripauG/status/1070638638978002946","1070638638978002946")</f>
        <v>1070638638978002946</v>
      </c>
      <c r="F831" s="11"/>
      <c r="G831" s="13" t="s">
        <v>2923</v>
      </c>
      <c r="H831" s="11"/>
      <c r="I831" s="14">
        <v>0</v>
      </c>
      <c r="J831" s="14">
        <v>0</v>
      </c>
      <c r="K831" s="15" t="str">
        <f>HYPERLINK("http://twitter.com/#!/download/ipad","Twitter for iPad")</f>
        <v>Twitter for iPad</v>
      </c>
      <c r="L831" s="14">
        <v>32</v>
      </c>
      <c r="M831" s="14">
        <v>121</v>
      </c>
      <c r="N831" s="14">
        <v>1</v>
      </c>
      <c r="O831" s="16"/>
      <c r="P831" s="6">
        <v>43359.888645833329</v>
      </c>
      <c r="Q831" s="11"/>
      <c r="R831" s="17" t="s">
        <v>161</v>
      </c>
      <c r="S831" s="11"/>
      <c r="T831" s="11"/>
      <c r="U831" s="10" t="str">
        <f>HYPERLINK("https://pbs.twimg.com/profile_images/1055865454672179200/4zrcC5V_.jpg","View")</f>
        <v>View</v>
      </c>
    </row>
    <row r="832" spans="1:21" ht="102">
      <c r="A832" s="6">
        <v>43440.51253472222</v>
      </c>
      <c r="B832" s="7" t="str">
        <f>HYPERLINK("https://twitter.com/chistescomicos3","@chistescomicos3")</f>
        <v>@chistescomicos3</v>
      </c>
      <c r="C832" s="8" t="s">
        <v>2928</v>
      </c>
      <c r="D832" s="9" t="s">
        <v>2929</v>
      </c>
      <c r="E832" s="10" t="str">
        <f>HYPERLINK("https://twitter.com/chistescomicos3/status/1070638497084641280","1070638497084641280")</f>
        <v>1070638497084641280</v>
      </c>
      <c r="F832" s="13" t="s">
        <v>2056</v>
      </c>
      <c r="G832" s="13" t="s">
        <v>2057</v>
      </c>
      <c r="H832" s="11"/>
      <c r="I832" s="14">
        <v>0</v>
      </c>
      <c r="J832" s="14">
        <v>0</v>
      </c>
      <c r="K832" s="15" t="str">
        <f>HYPERLINK("http://twitter.com/download/android","Twitter for Android")</f>
        <v>Twitter for Android</v>
      </c>
      <c r="L832" s="14">
        <v>1130</v>
      </c>
      <c r="M832" s="14">
        <v>1296</v>
      </c>
      <c r="N832" s="14">
        <v>12</v>
      </c>
      <c r="O832" s="16"/>
      <c r="P832" s="6">
        <v>42210.044699074075</v>
      </c>
      <c r="Q832" s="12" t="s">
        <v>2932</v>
      </c>
      <c r="R832" s="17" t="s">
        <v>2933</v>
      </c>
      <c r="S832" s="11"/>
      <c r="T832" s="11"/>
      <c r="U832" s="10" t="str">
        <f>HYPERLINK("https://pbs.twimg.com/profile_images/905702391298830338/oUfJSLT5.jpg","View")</f>
        <v>View</v>
      </c>
    </row>
    <row r="833" spans="1:21" ht="51">
      <c r="A833" s="6">
        <v>43440.510891203703</v>
      </c>
      <c r="B833" s="7" t="str">
        <f>HYPERLINK("https://twitter.com/CiudadanosCs","@CiudadanosCs")</f>
        <v>@CiudadanosCs</v>
      </c>
      <c r="C833" s="8" t="s">
        <v>489</v>
      </c>
      <c r="D833" s="9" t="s">
        <v>2934</v>
      </c>
      <c r="E833" s="10" t="str">
        <f>HYPERLINK("https://twitter.com/CiudadanosCs/status/1070637898142240768","1070637898142240768")</f>
        <v>1070637898142240768</v>
      </c>
      <c r="F833" s="11"/>
      <c r="G833" s="13" t="s">
        <v>2773</v>
      </c>
      <c r="H833" s="11"/>
      <c r="I833" s="14">
        <v>127</v>
      </c>
      <c r="J833" s="14">
        <v>231</v>
      </c>
      <c r="K833" s="15" t="str">
        <f>HYPERLINK("https://studio.twitter.com","Twitter Media Studio")</f>
        <v>Twitter Media Studio</v>
      </c>
      <c r="L833" s="14">
        <v>490821</v>
      </c>
      <c r="M833" s="14">
        <v>93557</v>
      </c>
      <c r="N833" s="14">
        <v>3338</v>
      </c>
      <c r="O833" s="19" t="s">
        <v>42</v>
      </c>
      <c r="P833" s="6">
        <v>39828.753460648149</v>
      </c>
      <c r="Q833" s="12" t="s">
        <v>137</v>
      </c>
      <c r="R833" s="17" t="s">
        <v>492</v>
      </c>
      <c r="S833" s="13" t="s">
        <v>493</v>
      </c>
      <c r="T833" s="11"/>
      <c r="U833" s="10" t="str">
        <f>HYPERLINK("https://pbs.twimg.com/profile_images/1053554096161075200/1z77_zBZ.jpg","View")</f>
        <v>View</v>
      </c>
    </row>
    <row r="834" spans="1:21" ht="30.6">
      <c r="A834" s="6">
        <v>43440.510879629626</v>
      </c>
      <c r="B834" s="7" t="str">
        <f>HYPERLINK("https://twitter.com/COPE","@COPE")</f>
        <v>@COPE</v>
      </c>
      <c r="C834" s="8" t="s">
        <v>3589</v>
      </c>
      <c r="D834" s="9" t="s">
        <v>3590</v>
      </c>
      <c r="E834" s="10" t="str">
        <f>HYPERLINK("https://twitter.com/COPE/status/1070637895923437571","1070637895923437571")</f>
        <v>1070637895923437571</v>
      </c>
      <c r="F834" s="13" t="s">
        <v>3591</v>
      </c>
      <c r="G834" s="11"/>
      <c r="H834" s="11"/>
      <c r="I834" s="14">
        <v>3</v>
      </c>
      <c r="J834" s="14">
        <v>6</v>
      </c>
      <c r="K834" s="15" t="str">
        <f>HYPERLINK("http://dogtrack.es","DogTrack_Oficial")</f>
        <v>DogTrack_Oficial</v>
      </c>
      <c r="L834" s="14">
        <v>354193</v>
      </c>
      <c r="M834" s="14">
        <v>150</v>
      </c>
      <c r="N834" s="14">
        <v>3095</v>
      </c>
      <c r="O834" s="19" t="s">
        <v>42</v>
      </c>
      <c r="P834" s="6">
        <v>39381.538321759261</v>
      </c>
      <c r="Q834" s="12" t="s">
        <v>60</v>
      </c>
      <c r="R834" s="17" t="s">
        <v>3592</v>
      </c>
      <c r="S834" s="13" t="s">
        <v>3593</v>
      </c>
      <c r="T834" s="11"/>
      <c r="U834" s="10" t="str">
        <f>HYPERLINK("https://pbs.twimg.com/profile_images/1063097716031533059/yAe1j-56.jpg","View")</f>
        <v>View</v>
      </c>
    </row>
    <row r="835" spans="1:21" ht="61.2">
      <c r="A835" s="6">
        <v>43440.510347222225</v>
      </c>
      <c r="B835" s="7" t="str">
        <f>HYPERLINK("https://twitter.com/tierra_los","@tierra_los")</f>
        <v>@tierra_los</v>
      </c>
      <c r="C835" s="8" t="s">
        <v>2935</v>
      </c>
      <c r="D835" s="9" t="s">
        <v>2936</v>
      </c>
      <c r="E835" s="10" t="str">
        <f>HYPERLINK("https://twitter.com/tierra_los/status/1070637701190311936","1070637701190311936")</f>
        <v>1070637701190311936</v>
      </c>
      <c r="F835" s="11"/>
      <c r="G835" s="13" t="s">
        <v>2939</v>
      </c>
      <c r="H835" s="11"/>
      <c r="I835" s="14">
        <v>0</v>
      </c>
      <c r="J835" s="14">
        <v>0</v>
      </c>
      <c r="K835" s="15" t="str">
        <f>HYPERLINK("http://twitter.com/download/android","Twitter for Android")</f>
        <v>Twitter for Android</v>
      </c>
      <c r="L835" s="14">
        <v>29</v>
      </c>
      <c r="M835" s="14">
        <v>95</v>
      </c>
      <c r="N835" s="14">
        <v>0</v>
      </c>
      <c r="O835" s="16"/>
      <c r="P835" s="6">
        <v>43250.606956018513</v>
      </c>
      <c r="Q835" s="11"/>
      <c r="R835" s="17" t="s">
        <v>2940</v>
      </c>
      <c r="S835" s="11"/>
      <c r="T835" s="11"/>
      <c r="U835" s="10" t="str">
        <f>HYPERLINK("https://pbs.twimg.com/profile_images/1007042885836042247/Vu_SsZtp.jpg","View")</f>
        <v>View</v>
      </c>
    </row>
    <row r="836" spans="1:21" ht="30.6">
      <c r="A836" s="6">
        <v>43440.51017361111</v>
      </c>
      <c r="B836" s="7" t="str">
        <f>HYPERLINK("https://twitter.com/Delsurgr","@Delsurgr")</f>
        <v>@Delsurgr</v>
      </c>
      <c r="C836" s="8" t="s">
        <v>3600</v>
      </c>
      <c r="D836" s="9" t="s">
        <v>3601</v>
      </c>
      <c r="E836" s="10" t="str">
        <f>HYPERLINK("https://twitter.com/Delsurgr/status/1070637639898988545","1070637639898988545")</f>
        <v>1070637639898988545</v>
      </c>
      <c r="F836" s="13" t="s">
        <v>1316</v>
      </c>
      <c r="G836" s="11"/>
      <c r="H836" s="11"/>
      <c r="I836" s="14">
        <v>5</v>
      </c>
      <c r="J836" s="14">
        <v>9</v>
      </c>
      <c r="K836" s="15" t="str">
        <f>HYPERLINK("http://twitter.com/download/iphone","Twitter for iPhone")</f>
        <v>Twitter for iPhone</v>
      </c>
      <c r="L836" s="14">
        <v>31915</v>
      </c>
      <c r="M836" s="14">
        <v>34783</v>
      </c>
      <c r="N836" s="14">
        <v>136</v>
      </c>
      <c r="O836" s="16"/>
      <c r="P836" s="6">
        <v>40476.741412037038</v>
      </c>
      <c r="Q836" s="12" t="s">
        <v>449</v>
      </c>
      <c r="R836" s="17" t="s">
        <v>3603</v>
      </c>
      <c r="S836" s="11"/>
      <c r="T836" s="11"/>
      <c r="U836" s="10" t="str">
        <f>HYPERLINK("https://pbs.twimg.com/profile_images/956127679081836544/8mt52IO-.jpg","View")</f>
        <v>View</v>
      </c>
    </row>
    <row r="837" spans="1:21" ht="40.799999999999997">
      <c r="A837" s="6">
        <v>43440.509375000001</v>
      </c>
      <c r="B837" s="7" t="str">
        <f>HYPERLINK("https://twitter.com/marianofake","@marianofake")</f>
        <v>@marianofake</v>
      </c>
      <c r="C837" s="8" t="s">
        <v>3604</v>
      </c>
      <c r="D837" s="9" t="s">
        <v>3605</v>
      </c>
      <c r="E837" s="10" t="str">
        <f>HYPERLINK("https://twitter.com/marianofake/status/1070637350538145792","1070637350538145792")</f>
        <v>1070637350538145792</v>
      </c>
      <c r="F837" s="11"/>
      <c r="G837" s="11"/>
      <c r="H837" s="11"/>
      <c r="I837" s="14">
        <v>29</v>
      </c>
      <c r="J837" s="14">
        <v>45</v>
      </c>
      <c r="K837" s="15" t="str">
        <f>HYPERLINK("https://mobile.twitter.com","Twitter Lite")</f>
        <v>Twitter Lite</v>
      </c>
      <c r="L837" s="14">
        <v>6144</v>
      </c>
      <c r="M837" s="14">
        <v>3153</v>
      </c>
      <c r="N837" s="14">
        <v>19</v>
      </c>
      <c r="O837" s="16"/>
      <c r="P837" s="6">
        <v>42101.675752314812</v>
      </c>
      <c r="Q837" s="11"/>
      <c r="R837" s="17" t="s">
        <v>3607</v>
      </c>
      <c r="S837" s="11"/>
      <c r="T837" s="11"/>
      <c r="U837" s="10" t="str">
        <f>HYPERLINK("https://pbs.twimg.com/profile_images/865123852795367424/p4pK2M21.jpg","View")</f>
        <v>View</v>
      </c>
    </row>
    <row r="838" spans="1:21" ht="13.2">
      <c r="A838" s="6">
        <v>43440.508518518516</v>
      </c>
      <c r="B838" s="7" t="str">
        <f>HYPERLINK("https://twitter.com/MundoBurbu","@MundoBurbu")</f>
        <v>@MundoBurbu</v>
      </c>
      <c r="C838" s="8" t="s">
        <v>3608</v>
      </c>
      <c r="D838" s="9" t="s">
        <v>3609</v>
      </c>
      <c r="E838" s="10" t="str">
        <f>HYPERLINK("https://twitter.com/MundoBurbu/status/1070637042189639681","1070637042189639681")</f>
        <v>1070637042189639681</v>
      </c>
      <c r="F838" s="11"/>
      <c r="G838" s="13" t="s">
        <v>3610</v>
      </c>
      <c r="H838" s="11"/>
      <c r="I838" s="14">
        <v>4</v>
      </c>
      <c r="J838" s="14">
        <v>6</v>
      </c>
      <c r="K838" s="15" t="str">
        <f>HYPERLINK("http://twitter.com/download/iphone","Twitter for iPhone")</f>
        <v>Twitter for iPhone</v>
      </c>
      <c r="L838" s="14">
        <v>4302</v>
      </c>
      <c r="M838" s="14">
        <v>4978</v>
      </c>
      <c r="N838" s="14">
        <v>30</v>
      </c>
      <c r="O838" s="16"/>
      <c r="P838" s="6">
        <v>40765.490914351853</v>
      </c>
      <c r="Q838" s="11"/>
      <c r="R838" s="17" t="s">
        <v>3611</v>
      </c>
      <c r="S838" s="11"/>
      <c r="T838" s="11"/>
      <c r="U838" s="10" t="str">
        <f>HYPERLINK("https://pbs.twimg.com/profile_images/378800000481524744/28454495b32ff0c60ebe9e92126e1027.jpeg","View")</f>
        <v>View</v>
      </c>
    </row>
    <row r="839" spans="1:21" ht="30.6">
      <c r="A839" s="6">
        <v>43440.507222222222</v>
      </c>
      <c r="B839" s="7" t="str">
        <f>HYPERLINK("https://twitter.com/JRRBiker","@JRRBiker")</f>
        <v>@JRRBiker</v>
      </c>
      <c r="C839" s="8" t="s">
        <v>3612</v>
      </c>
      <c r="D839" s="9" t="s">
        <v>3613</v>
      </c>
      <c r="E839" s="10" t="str">
        <f>HYPERLINK("https://twitter.com/JRRBiker/status/1070636572310192128","1070636572310192128")</f>
        <v>1070636572310192128</v>
      </c>
      <c r="F839" s="11"/>
      <c r="G839" s="11"/>
      <c r="H839" s="11"/>
      <c r="I839" s="14">
        <v>0</v>
      </c>
      <c r="J839" s="14">
        <v>0</v>
      </c>
      <c r="K839" s="15" t="str">
        <f>HYPERLINK("http://twitter.com/download/android","Twitter for Android")</f>
        <v>Twitter for Android</v>
      </c>
      <c r="L839" s="14">
        <v>5415</v>
      </c>
      <c r="M839" s="14">
        <v>1193</v>
      </c>
      <c r="N839" s="14">
        <v>19</v>
      </c>
      <c r="O839" s="16"/>
      <c r="P839" s="6">
        <v>41088.984351851854</v>
      </c>
      <c r="Q839" s="12" t="s">
        <v>3614</v>
      </c>
      <c r="R839" s="17" t="s">
        <v>3615</v>
      </c>
      <c r="S839" s="11"/>
      <c r="T839" s="11"/>
      <c r="U839" s="10" t="str">
        <f>HYPERLINK("https://pbs.twimg.com/profile_images/816306552911040512/DFT-BXuw.jpg","View")</f>
        <v>View</v>
      </c>
    </row>
    <row r="840" spans="1:21" ht="40.799999999999997">
      <c r="A840" s="6">
        <v>43440.506851851853</v>
      </c>
      <c r="B840" s="7" t="str">
        <f>HYPERLINK("https://twitter.com/La_Cerca","@La_Cerca")</f>
        <v>@La_Cerca</v>
      </c>
      <c r="C840" s="8" t="s">
        <v>2743</v>
      </c>
      <c r="D840" s="9" t="s">
        <v>2941</v>
      </c>
      <c r="E840" s="10" t="str">
        <f>HYPERLINK("https://twitter.com/La_Cerca/status/1070636437983375360","1070636437983375360")</f>
        <v>1070636437983375360</v>
      </c>
      <c r="F840" s="13" t="s">
        <v>2942</v>
      </c>
      <c r="G840" s="11"/>
      <c r="H840" s="11"/>
      <c r="I840" s="14">
        <v>0</v>
      </c>
      <c r="J840" s="14">
        <v>0</v>
      </c>
      <c r="K840" s="15" t="str">
        <f>HYPERLINK("http://www.lacerca.com","La Cerca")</f>
        <v>La Cerca</v>
      </c>
      <c r="L840" s="14">
        <v>18980</v>
      </c>
      <c r="M840" s="14">
        <v>4970</v>
      </c>
      <c r="N840" s="14">
        <v>337</v>
      </c>
      <c r="O840" s="19" t="s">
        <v>42</v>
      </c>
      <c r="P840" s="6">
        <v>40007.429652777777</v>
      </c>
      <c r="Q840" s="12" t="s">
        <v>2255</v>
      </c>
      <c r="R840" s="17" t="s">
        <v>2746</v>
      </c>
      <c r="S840" s="13" t="s">
        <v>2747</v>
      </c>
      <c r="T840" s="11"/>
      <c r="U840" s="10" t="str">
        <f>HYPERLINK("https://pbs.twimg.com/profile_images/1046758213843111937/MFsiNfy0.jpg","View")</f>
        <v>View</v>
      </c>
    </row>
    <row r="841" spans="1:21" ht="102">
      <c r="A841" s="6">
        <v>43440.505659722221</v>
      </c>
      <c r="B841" s="7" t="str">
        <f>HYPERLINK("https://twitter.com/MarIntroini","@MarIntroini")</f>
        <v>@MarIntroini</v>
      </c>
      <c r="C841" s="8" t="s">
        <v>2889</v>
      </c>
      <c r="D841" s="9" t="s">
        <v>2948</v>
      </c>
      <c r="E841" s="10" t="str">
        <f>HYPERLINK("https://twitter.com/MarIntroini/status/1070636004409860096","1070636004409860096")</f>
        <v>1070636004409860096</v>
      </c>
      <c r="F841" s="13" t="s">
        <v>2949</v>
      </c>
      <c r="G841" s="13" t="s">
        <v>2950</v>
      </c>
      <c r="H841" s="11"/>
      <c r="I841" s="14">
        <v>0</v>
      </c>
      <c r="J841" s="14">
        <v>0</v>
      </c>
      <c r="K841" s="15" t="str">
        <f>HYPERLINK("http://twitter.com","Twitter Web Client")</f>
        <v>Twitter Web Client</v>
      </c>
      <c r="L841" s="14">
        <v>1724</v>
      </c>
      <c r="M841" s="14">
        <v>554</v>
      </c>
      <c r="N841" s="14">
        <v>138</v>
      </c>
      <c r="O841" s="16"/>
      <c r="P841" s="6">
        <v>42146.891689814816</v>
      </c>
      <c r="Q841" s="12" t="s">
        <v>2895</v>
      </c>
      <c r="R841" s="17" t="s">
        <v>2896</v>
      </c>
      <c r="S841" s="13" t="s">
        <v>2897</v>
      </c>
      <c r="T841" s="11"/>
      <c r="U841" s="10" t="str">
        <f>HYPERLINK("https://pbs.twimg.com/profile_images/919845473971851265/A1XsYjzh.jpg","View")</f>
        <v>View</v>
      </c>
    </row>
    <row r="842" spans="1:21" ht="51">
      <c r="A842" s="6">
        <v>43440.505057870367</v>
      </c>
      <c r="B842" s="7" t="str">
        <f>HYPERLINK("https://twitter.com/CiudadanosCs","@CiudadanosCs")</f>
        <v>@CiudadanosCs</v>
      </c>
      <c r="C842" s="8" t="s">
        <v>489</v>
      </c>
      <c r="D842" s="9" t="s">
        <v>2957</v>
      </c>
      <c r="E842" s="10" t="str">
        <f>HYPERLINK("https://twitter.com/CiudadanosCs/status/1070635787073531904","1070635787073531904")</f>
        <v>1070635787073531904</v>
      </c>
      <c r="F842" s="11"/>
      <c r="G842" s="13" t="s">
        <v>2958</v>
      </c>
      <c r="H842" s="11"/>
      <c r="I842" s="14">
        <v>133</v>
      </c>
      <c r="J842" s="14">
        <v>273</v>
      </c>
      <c r="K842" s="15" t="str">
        <f>HYPERLINK("https://studio.twitter.com","Twitter Media Studio")</f>
        <v>Twitter Media Studio</v>
      </c>
      <c r="L842" s="14">
        <v>490821</v>
      </c>
      <c r="M842" s="14">
        <v>93557</v>
      </c>
      <c r="N842" s="14">
        <v>3338</v>
      </c>
      <c r="O842" s="19" t="s">
        <v>42</v>
      </c>
      <c r="P842" s="6">
        <v>39828.753460648149</v>
      </c>
      <c r="Q842" s="12" t="s">
        <v>137</v>
      </c>
      <c r="R842" s="17" t="s">
        <v>492</v>
      </c>
      <c r="S842" s="13" t="s">
        <v>493</v>
      </c>
      <c r="T842" s="11"/>
      <c r="U842" s="10" t="str">
        <f>HYPERLINK("https://pbs.twimg.com/profile_images/1053554096161075200/1z77_zBZ.jpg","View")</f>
        <v>View</v>
      </c>
    </row>
    <row r="843" spans="1:21" ht="40.799999999999997">
      <c r="A843" s="6">
        <v>43440.504444444443</v>
      </c>
      <c r="B843" s="7" t="str">
        <f>HYPERLINK("https://twitter.com/adrianwae","@adrianwae")</f>
        <v>@adrianwae</v>
      </c>
      <c r="C843" s="8" t="s">
        <v>3624</v>
      </c>
      <c r="D843" s="9" t="s">
        <v>3625</v>
      </c>
      <c r="E843" s="10" t="str">
        <f>HYPERLINK("https://twitter.com/adrianwae/status/1070635565140336642","1070635565140336642")</f>
        <v>1070635565140336642</v>
      </c>
      <c r="F843" s="13" t="s">
        <v>3626</v>
      </c>
      <c r="G843" s="11"/>
      <c r="H843" s="11"/>
      <c r="I843" s="14">
        <v>4</v>
      </c>
      <c r="J843" s="14">
        <v>2</v>
      </c>
      <c r="K843" s="15" t="str">
        <f>HYPERLINK("http://twitter.com/download/android","Twitter for Android")</f>
        <v>Twitter for Android</v>
      </c>
      <c r="L843" s="14">
        <v>454</v>
      </c>
      <c r="M843" s="14">
        <v>696</v>
      </c>
      <c r="N843" s="14">
        <v>31</v>
      </c>
      <c r="O843" s="16"/>
      <c r="P843" s="6">
        <v>39355.711689814816</v>
      </c>
      <c r="Q843" s="12" t="s">
        <v>29</v>
      </c>
      <c r="R843" s="17" t="s">
        <v>3627</v>
      </c>
      <c r="S843" s="13" t="s">
        <v>3629</v>
      </c>
      <c r="T843" s="11"/>
      <c r="U843" s="10" t="str">
        <f>HYPERLINK("https://pbs.twimg.com/profile_images/754971312326602753/KXpP3ZJW.jpg","View")</f>
        <v>View</v>
      </c>
    </row>
    <row r="844" spans="1:21" ht="51">
      <c r="A844" s="6">
        <v>43440.503402777773</v>
      </c>
      <c r="B844" s="7" t="str">
        <f>HYPERLINK("https://twitter.com/CiudadanosCs","@CiudadanosCs")</f>
        <v>@CiudadanosCs</v>
      </c>
      <c r="C844" s="8" t="s">
        <v>489</v>
      </c>
      <c r="D844" s="9" t="s">
        <v>2966</v>
      </c>
      <c r="E844" s="10" t="str">
        <f>HYPERLINK("https://twitter.com/CiudadanosCs/status/1070635187111895041","1070635187111895041")</f>
        <v>1070635187111895041</v>
      </c>
      <c r="F844" s="11"/>
      <c r="G844" s="13" t="s">
        <v>2967</v>
      </c>
      <c r="H844" s="11"/>
      <c r="I844" s="14">
        <v>378</v>
      </c>
      <c r="J844" s="14">
        <v>483</v>
      </c>
      <c r="K844" s="15" t="str">
        <f>HYPERLINK("https://studio.twitter.com","Twitter Media Studio")</f>
        <v>Twitter Media Studio</v>
      </c>
      <c r="L844" s="14">
        <v>490821</v>
      </c>
      <c r="M844" s="14">
        <v>93557</v>
      </c>
      <c r="N844" s="14">
        <v>3338</v>
      </c>
      <c r="O844" s="19" t="s">
        <v>42</v>
      </c>
      <c r="P844" s="6">
        <v>39828.753460648149</v>
      </c>
      <c r="Q844" s="12" t="s">
        <v>137</v>
      </c>
      <c r="R844" s="17" t="s">
        <v>492</v>
      </c>
      <c r="S844" s="13" t="s">
        <v>493</v>
      </c>
      <c r="T844" s="11"/>
      <c r="U844" s="10" t="str">
        <f>HYPERLINK("https://pbs.twimg.com/profile_images/1053554096161075200/1z77_zBZ.jpg","View")</f>
        <v>View</v>
      </c>
    </row>
    <row r="845" spans="1:21" ht="40.799999999999997">
      <c r="A845" s="6">
        <v>43440.502222222218</v>
      </c>
      <c r="B845" s="7" t="str">
        <f>HYPERLINK("https://twitter.com/qqqqetru","@qqqqetru")</f>
        <v>@qqqqetru</v>
      </c>
      <c r="C845" s="8" t="s">
        <v>2649</v>
      </c>
      <c r="D845" s="9" t="s">
        <v>2968</v>
      </c>
      <c r="E845" s="10" t="str">
        <f>HYPERLINK("https://twitter.com/qqqqetru/status/1070634758470815744","1070634758470815744")</f>
        <v>1070634758470815744</v>
      </c>
      <c r="F845" s="13" t="s">
        <v>192</v>
      </c>
      <c r="G845" s="11"/>
      <c r="H845" s="11"/>
      <c r="I845" s="14">
        <v>2</v>
      </c>
      <c r="J845" s="14">
        <v>2</v>
      </c>
      <c r="K845" s="15" t="str">
        <f>HYPERLINK("http://twitter.com/download/android","Twitter for Android")</f>
        <v>Twitter for Android</v>
      </c>
      <c r="L845" s="14">
        <v>649</v>
      </c>
      <c r="M845" s="14">
        <v>1194</v>
      </c>
      <c r="N845" s="14">
        <v>2</v>
      </c>
      <c r="O845" s="16"/>
      <c r="P845" s="6">
        <v>40749.437719907408</v>
      </c>
      <c r="Q845" s="11"/>
      <c r="R845" s="18"/>
      <c r="S845" s="11"/>
      <c r="T845" s="11"/>
      <c r="U845" s="10" t="str">
        <f>HYPERLINK("https://pbs.twimg.com/profile_images/1069734331780870144/d_KYpBFy.jpg","View")</f>
        <v>View</v>
      </c>
    </row>
    <row r="846" spans="1:21" ht="51">
      <c r="A846" s="6">
        <v>43440.501388888893</v>
      </c>
      <c r="B846" s="7" t="str">
        <f t="shared" ref="B846:B847" si="158">HYPERLINK("https://twitter.com/bitMomentum","@bitMomentum")</f>
        <v>@bitMomentum</v>
      </c>
      <c r="C846" s="8" t="s">
        <v>1889</v>
      </c>
      <c r="D846" s="9" t="s">
        <v>2970</v>
      </c>
      <c r="E846" s="10" t="str">
        <f>HYPERLINK("https://twitter.com/bitMomentum/status/1070634454891315201","1070634454891315201")</f>
        <v>1070634454891315201</v>
      </c>
      <c r="F846" s="11"/>
      <c r="G846" s="11"/>
      <c r="H846" s="11"/>
      <c r="I846" s="14">
        <v>0</v>
      </c>
      <c r="J846" s="14">
        <v>0</v>
      </c>
      <c r="K846" s="15" t="str">
        <f t="shared" ref="K846:K847" si="159">HYPERLINK("http://www.bitmomentum.com","bitMomentum Bot")</f>
        <v>bitMomentum Bot</v>
      </c>
      <c r="L846" s="14">
        <v>10254</v>
      </c>
      <c r="M846" s="14">
        <v>1059</v>
      </c>
      <c r="N846" s="14">
        <v>263</v>
      </c>
      <c r="O846" s="16"/>
      <c r="P846" s="6">
        <v>41608.667511574073</v>
      </c>
      <c r="Q846" s="11"/>
      <c r="R846" s="17" t="s">
        <v>1897</v>
      </c>
      <c r="S846" s="13" t="s">
        <v>1898</v>
      </c>
      <c r="T846" s="11"/>
      <c r="U846" s="10" t="str">
        <f t="shared" ref="U846:U847" si="160">HYPERLINK("https://pbs.twimg.com/profile_images/378800000862185241/20ij2H3u.png","View")</f>
        <v>View</v>
      </c>
    </row>
    <row r="847" spans="1:21" ht="40.799999999999997">
      <c r="A847" s="6">
        <v>43440.500694444447</v>
      </c>
      <c r="B847" s="7" t="str">
        <f t="shared" si="158"/>
        <v>@bitMomentum</v>
      </c>
      <c r="C847" s="8" t="s">
        <v>1889</v>
      </c>
      <c r="D847" s="9" t="s">
        <v>2971</v>
      </c>
      <c r="E847" s="10" t="str">
        <f>HYPERLINK("https://twitter.com/bitMomentum/status/1070634203220467712","1070634203220467712")</f>
        <v>1070634203220467712</v>
      </c>
      <c r="F847" s="11"/>
      <c r="G847" s="11"/>
      <c r="H847" s="11"/>
      <c r="I847" s="14">
        <v>0</v>
      </c>
      <c r="J847" s="14">
        <v>1</v>
      </c>
      <c r="K847" s="15" t="str">
        <f t="shared" si="159"/>
        <v>bitMomentum Bot</v>
      </c>
      <c r="L847" s="14">
        <v>10254</v>
      </c>
      <c r="M847" s="14">
        <v>1059</v>
      </c>
      <c r="N847" s="14">
        <v>263</v>
      </c>
      <c r="O847" s="16"/>
      <c r="P847" s="6">
        <v>41608.667511574073</v>
      </c>
      <c r="Q847" s="11"/>
      <c r="R847" s="17" t="s">
        <v>1897</v>
      </c>
      <c r="S847" s="13" t="s">
        <v>1898</v>
      </c>
      <c r="T847" s="11"/>
      <c r="U847" s="10" t="str">
        <f t="shared" si="160"/>
        <v>View</v>
      </c>
    </row>
    <row r="848" spans="1:21" ht="51">
      <c r="A848" s="6">
        <v>43440.5</v>
      </c>
      <c r="B848" s="7" t="str">
        <f>HYPERLINK("https://twitter.com/Cs_Asturias","@Cs_Asturias")</f>
        <v>@Cs_Asturias</v>
      </c>
      <c r="C848" s="8" t="s">
        <v>1845</v>
      </c>
      <c r="D848" s="9" t="s">
        <v>2972</v>
      </c>
      <c r="E848" s="10" t="str">
        <f>HYPERLINK("https://twitter.com/Cs_Asturias/status/1070633954766671872","1070633954766671872")</f>
        <v>1070633954766671872</v>
      </c>
      <c r="F848" s="11"/>
      <c r="G848" s="13" t="s">
        <v>2973</v>
      </c>
      <c r="H848" s="11"/>
      <c r="I848" s="14">
        <v>4</v>
      </c>
      <c r="J848" s="14">
        <v>6</v>
      </c>
      <c r="K848" s="15" t="str">
        <f>HYPERLINK("https://studio.twitter.com","Twitter Media Studio")</f>
        <v>Twitter Media Studio</v>
      </c>
      <c r="L848" s="14">
        <v>5720</v>
      </c>
      <c r="M848" s="14">
        <v>1485</v>
      </c>
      <c r="N848" s="14">
        <v>98</v>
      </c>
      <c r="O848" s="19" t="s">
        <v>42</v>
      </c>
      <c r="P848" s="6">
        <v>41704.560023148151</v>
      </c>
      <c r="Q848" s="11"/>
      <c r="R848" s="17" t="s">
        <v>1848</v>
      </c>
      <c r="S848" s="13" t="s">
        <v>822</v>
      </c>
      <c r="T848" s="11"/>
      <c r="U848" s="10" t="str">
        <f>HYPERLINK("https://pbs.twimg.com/profile_images/1053409692960075776/pqztNRjY.jpg","View")</f>
        <v>View</v>
      </c>
    </row>
    <row r="849" spans="1:21" ht="20.399999999999999">
      <c r="A849" s="6">
        <v>43440.495949074073</v>
      </c>
      <c r="B849" s="7" t="str">
        <f>HYPERLINK("https://twitter.com/fotocinema","@fotocinema")</f>
        <v>@fotocinema</v>
      </c>
      <c r="C849" s="8" t="s">
        <v>3636</v>
      </c>
      <c r="D849" s="9" t="s">
        <v>3637</v>
      </c>
      <c r="E849" s="10" t="str">
        <f>HYPERLINK("https://twitter.com/fotocinema/status/1070632484327645184","1070632484327645184")</f>
        <v>1070632484327645184</v>
      </c>
      <c r="F849" s="13" t="s">
        <v>3639</v>
      </c>
      <c r="G849" s="11"/>
      <c r="H849" s="11"/>
      <c r="I849" s="14">
        <v>0</v>
      </c>
      <c r="J849" s="14">
        <v>0</v>
      </c>
      <c r="K849" s="15" t="str">
        <f>HYPERLINK("http://twitter.com","Twitter Web Client")</f>
        <v>Twitter Web Client</v>
      </c>
      <c r="L849" s="14">
        <v>153</v>
      </c>
      <c r="M849" s="14">
        <v>492</v>
      </c>
      <c r="N849" s="14">
        <v>3</v>
      </c>
      <c r="O849" s="16"/>
      <c r="P849" s="6">
        <v>40021.383877314816</v>
      </c>
      <c r="Q849" s="12" t="s">
        <v>29</v>
      </c>
      <c r="R849" s="17" t="s">
        <v>3640</v>
      </c>
      <c r="S849" s="13" t="s">
        <v>3641</v>
      </c>
      <c r="T849" s="11"/>
      <c r="U849" s="10" t="str">
        <f>HYPERLINK("https://pbs.twimg.com/profile_images/609165700654043137/JKh0kL3u.jpg","View")</f>
        <v>View</v>
      </c>
    </row>
    <row r="850" spans="1:21" ht="30.6">
      <c r="A850" s="6">
        <v>43440.495763888888</v>
      </c>
      <c r="B850" s="7" t="str">
        <f>HYPERLINK("https://twitter.com/emily_habsburg","@emily_habsburg")</f>
        <v>@emily_habsburg</v>
      </c>
      <c r="C850" s="8" t="s">
        <v>3643</v>
      </c>
      <c r="D850" s="9" t="s">
        <v>3644</v>
      </c>
      <c r="E850" s="10" t="str">
        <f>HYPERLINK("https://twitter.com/emily_habsburg/status/1070632418544181248","1070632418544181248")</f>
        <v>1070632418544181248</v>
      </c>
      <c r="F850" s="13" t="s">
        <v>1316</v>
      </c>
      <c r="G850" s="11"/>
      <c r="H850" s="11"/>
      <c r="I850" s="14">
        <v>1</v>
      </c>
      <c r="J850" s="14">
        <v>4</v>
      </c>
      <c r="K850" s="15" t="str">
        <f t="shared" ref="K850:K851" si="161">HYPERLINK("http://twitter.com/download/iphone","Twitter for iPhone")</f>
        <v>Twitter for iPhone</v>
      </c>
      <c r="L850" s="14">
        <v>5562</v>
      </c>
      <c r="M850" s="14">
        <v>1949</v>
      </c>
      <c r="N850" s="14">
        <v>54</v>
      </c>
      <c r="O850" s="16"/>
      <c r="P850" s="6">
        <v>40615.929212962961</v>
      </c>
      <c r="Q850" s="12" t="s">
        <v>3645</v>
      </c>
      <c r="R850" s="17" t="s">
        <v>3646</v>
      </c>
      <c r="S850" s="11"/>
      <c r="T850" s="11"/>
      <c r="U850" s="10" t="str">
        <f>HYPERLINK("https://pbs.twimg.com/profile_images/1070744362315862021/Iu-BCfgV.jpg","View")</f>
        <v>View</v>
      </c>
    </row>
    <row r="851" spans="1:21" ht="40.799999999999997">
      <c r="A851" s="6">
        <v>43440.495451388888</v>
      </c>
      <c r="B851" s="7" t="str">
        <f>HYPERLINK("https://twitter.com/ElsaGarciad","@ElsaGarciad")</f>
        <v>@ElsaGarciad</v>
      </c>
      <c r="C851" s="8" t="s">
        <v>2974</v>
      </c>
      <c r="D851" s="9" t="s">
        <v>2975</v>
      </c>
      <c r="E851" s="10" t="str">
        <f>HYPERLINK("https://twitter.com/ElsaGarciad/status/1070632305419542528","1070632305419542528")</f>
        <v>1070632305419542528</v>
      </c>
      <c r="F851" s="13" t="s">
        <v>1316</v>
      </c>
      <c r="G851" s="11"/>
      <c r="H851" s="11"/>
      <c r="I851" s="14">
        <v>5</v>
      </c>
      <c r="J851" s="14">
        <v>9</v>
      </c>
      <c r="K851" s="15" t="str">
        <f t="shared" si="161"/>
        <v>Twitter for iPhone</v>
      </c>
      <c r="L851" s="14">
        <v>5887</v>
      </c>
      <c r="M851" s="14">
        <v>1778</v>
      </c>
      <c r="N851" s="14">
        <v>183</v>
      </c>
      <c r="O851" s="16"/>
      <c r="P851" s="6">
        <v>40232.999699074076</v>
      </c>
      <c r="Q851" s="11"/>
      <c r="R851" s="17" t="s">
        <v>2980</v>
      </c>
      <c r="S851" s="11"/>
      <c r="T851" s="11"/>
      <c r="U851" s="10" t="str">
        <f>HYPERLINK("https://pbs.twimg.com/profile_images/1043879392382988288/h0ehIVNa.jpg","View")</f>
        <v>View</v>
      </c>
    </row>
    <row r="852" spans="1:21" ht="20.399999999999999">
      <c r="A852" s="6">
        <v>43440.49428240741</v>
      </c>
      <c r="B852" s="7" t="str">
        <f>HYPERLINK("https://twitter.com/ordozgoiti1989","@ordozgoiti1989")</f>
        <v>@ordozgoiti1989</v>
      </c>
      <c r="C852" s="8" t="s">
        <v>3648</v>
      </c>
      <c r="D852" s="9" t="s">
        <v>3649</v>
      </c>
      <c r="E852" s="10" t="str">
        <f>HYPERLINK("https://twitter.com/ordozgoiti1989/status/1070631879886426112","1070631879886426112")</f>
        <v>1070631879886426112</v>
      </c>
      <c r="F852" s="13" t="s">
        <v>3650</v>
      </c>
      <c r="G852" s="11"/>
      <c r="H852" s="11"/>
      <c r="I852" s="14">
        <v>0</v>
      </c>
      <c r="J852" s="14">
        <v>0</v>
      </c>
      <c r="K852" s="15" t="str">
        <f>HYPERLINK("https://www.google.com/","Google")</f>
        <v>Google</v>
      </c>
      <c r="L852" s="14">
        <v>23</v>
      </c>
      <c r="M852" s="14">
        <v>82</v>
      </c>
      <c r="N852" s="14">
        <v>0</v>
      </c>
      <c r="O852" s="16"/>
      <c r="P852" s="6">
        <v>40514.431250000001</v>
      </c>
      <c r="Q852" s="11"/>
      <c r="R852" s="18"/>
      <c r="S852" s="11"/>
      <c r="T852" s="11"/>
      <c r="U852" s="10" t="str">
        <f>HYPERLINK("https://pbs.twimg.com/profile_images/722455758647005184/ziBrBbZ8.jpg","View")</f>
        <v>View</v>
      </c>
    </row>
    <row r="853" spans="1:21" ht="40.799999999999997">
      <c r="A853" s="6">
        <v>43440.493506944447</v>
      </c>
      <c r="B853" s="7" t="str">
        <f>HYPERLINK("https://twitter.com/jmarcos78","@jmarcos78")</f>
        <v>@jmarcos78</v>
      </c>
      <c r="C853" s="8" t="s">
        <v>2982</v>
      </c>
      <c r="D853" s="9" t="s">
        <v>2983</v>
      </c>
      <c r="E853" s="10" t="str">
        <f>HYPERLINK("https://twitter.com/jmarcos78/status/1070631598461194241","1070631598461194241")</f>
        <v>1070631598461194241</v>
      </c>
      <c r="F853" s="11"/>
      <c r="G853" s="11"/>
      <c r="H853" s="11"/>
      <c r="I853" s="14">
        <v>3</v>
      </c>
      <c r="J853" s="14">
        <v>2</v>
      </c>
      <c r="K853" s="15" t="str">
        <f>HYPERLINK("http://twitter.com/download/android","Twitter for Android")</f>
        <v>Twitter for Android</v>
      </c>
      <c r="L853" s="14">
        <v>4988</v>
      </c>
      <c r="M853" s="14">
        <v>1330</v>
      </c>
      <c r="N853" s="14">
        <v>241</v>
      </c>
      <c r="O853" s="16"/>
      <c r="P853" s="6">
        <v>40304.757696759261</v>
      </c>
      <c r="Q853" s="12" t="s">
        <v>29</v>
      </c>
      <c r="R853" s="17" t="s">
        <v>2984</v>
      </c>
      <c r="S853" s="13" t="s">
        <v>2985</v>
      </c>
      <c r="T853" s="11"/>
      <c r="U853" s="10" t="str">
        <f>HYPERLINK("https://pbs.twimg.com/profile_images/944712823724224512/_tsDftoS.jpg","View")</f>
        <v>View</v>
      </c>
    </row>
    <row r="854" spans="1:21" ht="51">
      <c r="A854" s="6">
        <v>43440.492939814816</v>
      </c>
      <c r="B854" s="7" t="str">
        <f>HYPERLINK("https://twitter.com/La_Cerca","@La_Cerca")</f>
        <v>@La_Cerca</v>
      </c>
      <c r="C854" s="8" t="s">
        <v>2743</v>
      </c>
      <c r="D854" s="9" t="s">
        <v>2990</v>
      </c>
      <c r="E854" s="10" t="str">
        <f>HYPERLINK("https://twitter.com/La_Cerca/status/1070631395318513664","1070631395318513664")</f>
        <v>1070631395318513664</v>
      </c>
      <c r="F854" s="13" t="s">
        <v>2993</v>
      </c>
      <c r="G854" s="11"/>
      <c r="H854" s="11"/>
      <c r="I854" s="14">
        <v>0</v>
      </c>
      <c r="J854" s="14">
        <v>0</v>
      </c>
      <c r="K854" s="15" t="str">
        <f>HYPERLINK("http://www.lacerca.com","La Cerca")</f>
        <v>La Cerca</v>
      </c>
      <c r="L854" s="14">
        <v>18980</v>
      </c>
      <c r="M854" s="14">
        <v>4970</v>
      </c>
      <c r="N854" s="14">
        <v>337</v>
      </c>
      <c r="O854" s="19" t="s">
        <v>42</v>
      </c>
      <c r="P854" s="6">
        <v>40007.429652777777</v>
      </c>
      <c r="Q854" s="12" t="s">
        <v>2255</v>
      </c>
      <c r="R854" s="17" t="s">
        <v>2746</v>
      </c>
      <c r="S854" s="13" t="s">
        <v>2747</v>
      </c>
      <c r="T854" s="11"/>
      <c r="U854" s="10" t="str">
        <f>HYPERLINK("https://pbs.twimg.com/profile_images/1046758213843111937/MFsiNfy0.jpg","View")</f>
        <v>View</v>
      </c>
    </row>
    <row r="855" spans="1:21" ht="51">
      <c r="A855" s="6">
        <v>43440.492719907408</v>
      </c>
      <c r="B855" s="7" t="str">
        <f>HYPERLINK("https://twitter.com/IdiotslayerXx","@IdiotslayerXx")</f>
        <v>@IdiotslayerXx</v>
      </c>
      <c r="C855" s="8" t="s">
        <v>2994</v>
      </c>
      <c r="D855" s="9" t="s">
        <v>2995</v>
      </c>
      <c r="E855" s="10" t="str">
        <f>HYPERLINK("https://twitter.com/IdiotslayerXx/status/1070631316721410048","1070631316721410048")</f>
        <v>1070631316721410048</v>
      </c>
      <c r="F855" s="11"/>
      <c r="G855" s="11"/>
      <c r="H855" s="11"/>
      <c r="I855" s="14">
        <v>0</v>
      </c>
      <c r="J855" s="14">
        <v>0</v>
      </c>
      <c r="K855" s="15" t="str">
        <f>HYPERLINK("http://twitter.com/download/android","Twitter for Android")</f>
        <v>Twitter for Android</v>
      </c>
      <c r="L855" s="14">
        <v>6</v>
      </c>
      <c r="M855" s="14">
        <v>46</v>
      </c>
      <c r="N855" s="14">
        <v>0</v>
      </c>
      <c r="O855" s="16"/>
      <c r="P855" s="6">
        <v>43437.622534722221</v>
      </c>
      <c r="Q855" s="12" t="s">
        <v>2996</v>
      </c>
      <c r="R855" s="18"/>
      <c r="S855" s="11"/>
      <c r="T855" s="11"/>
      <c r="U855" s="19" t="s">
        <v>629</v>
      </c>
    </row>
    <row r="856" spans="1:21" ht="30.6">
      <c r="A856" s="6">
        <v>43440.49155092593</v>
      </c>
      <c r="B856" s="7" t="str">
        <f>HYPERLINK("https://twitter.com/CiudadanosCs","@CiudadanosCs")</f>
        <v>@CiudadanosCs</v>
      </c>
      <c r="C856" s="8" t="s">
        <v>489</v>
      </c>
      <c r="D856" s="9" t="s">
        <v>2999</v>
      </c>
      <c r="E856" s="10" t="str">
        <f>HYPERLINK("https://twitter.com/CiudadanosCs/status/1070630890701766657","1070630890701766657")</f>
        <v>1070630890701766657</v>
      </c>
      <c r="F856" s="11"/>
      <c r="G856" s="13" t="s">
        <v>3001</v>
      </c>
      <c r="H856" s="11"/>
      <c r="I856" s="14">
        <v>26</v>
      </c>
      <c r="J856" s="14">
        <v>48</v>
      </c>
      <c r="K856" s="15" t="str">
        <f>HYPERLINK("http://twitter.com","Twitter Web Client")</f>
        <v>Twitter Web Client</v>
      </c>
      <c r="L856" s="14">
        <v>490821</v>
      </c>
      <c r="M856" s="14">
        <v>93557</v>
      </c>
      <c r="N856" s="14">
        <v>3338</v>
      </c>
      <c r="O856" s="19" t="s">
        <v>42</v>
      </c>
      <c r="P856" s="6">
        <v>39828.753460648149</v>
      </c>
      <c r="Q856" s="12" t="s">
        <v>137</v>
      </c>
      <c r="R856" s="17" t="s">
        <v>492</v>
      </c>
      <c r="S856" s="13" t="s">
        <v>493</v>
      </c>
      <c r="T856" s="11"/>
      <c r="U856" s="10" t="str">
        <f>HYPERLINK("https://pbs.twimg.com/profile_images/1053554096161075200/1z77_zBZ.jpg","View")</f>
        <v>View</v>
      </c>
    </row>
    <row r="857" spans="1:21" ht="61.2">
      <c r="A857" s="6">
        <v>43440.488333333335</v>
      </c>
      <c r="B857" s="7" t="str">
        <f>HYPERLINK("https://twitter.com/Cs_Calafell","@Cs_Calafell")</f>
        <v>@Cs_Calafell</v>
      </c>
      <c r="C857" s="8" t="s">
        <v>3003</v>
      </c>
      <c r="D857" s="9" t="s">
        <v>3004</v>
      </c>
      <c r="E857" s="10" t="str">
        <f>HYPERLINK("https://twitter.com/Cs_Calafell/status/1070629723724754944","1070629723724754944")</f>
        <v>1070629723724754944</v>
      </c>
      <c r="F857" s="11"/>
      <c r="G857" s="13" t="s">
        <v>3006</v>
      </c>
      <c r="H857" s="11"/>
      <c r="I857" s="14">
        <v>19</v>
      </c>
      <c r="J857" s="14">
        <v>27</v>
      </c>
      <c r="K857" s="15" t="str">
        <f>HYPERLINK("http://twitter.com/download/android","Twitter for Android")</f>
        <v>Twitter for Android</v>
      </c>
      <c r="L857" s="14">
        <v>2640</v>
      </c>
      <c r="M857" s="14">
        <v>1040</v>
      </c>
      <c r="N857" s="14">
        <v>35</v>
      </c>
      <c r="O857" s="16"/>
      <c r="P857" s="6">
        <v>41668.835312499999</v>
      </c>
      <c r="Q857" s="12" t="s">
        <v>3008</v>
      </c>
      <c r="R857" s="17" t="s">
        <v>3009</v>
      </c>
      <c r="S857" s="13" t="s">
        <v>3010</v>
      </c>
      <c r="T857" s="11"/>
      <c r="U857" s="10" t="str">
        <f>HYPERLINK("https://pbs.twimg.com/profile_images/906934584377520128/qc5_9kta.jpg","View")</f>
        <v>View</v>
      </c>
    </row>
    <row r="858" spans="1:21" ht="13.2">
      <c r="A858" s="6">
        <v>43440.485578703709</v>
      </c>
      <c r="B858" s="7" t="str">
        <f>HYPERLINK("https://twitter.com/AquestFrederic","@AquestFrederic")</f>
        <v>@AquestFrederic</v>
      </c>
      <c r="C858" s="8" t="s">
        <v>3655</v>
      </c>
      <c r="D858" s="9" t="s">
        <v>3656</v>
      </c>
      <c r="E858" s="10" t="str">
        <f>HYPERLINK("https://twitter.com/AquestFrederic/status/1070628725732069383","1070628725732069383")</f>
        <v>1070628725732069383</v>
      </c>
      <c r="F858" s="11"/>
      <c r="G858" s="13" t="s">
        <v>3657</v>
      </c>
      <c r="H858" s="11"/>
      <c r="I858" s="14">
        <v>0</v>
      </c>
      <c r="J858" s="14">
        <v>1</v>
      </c>
      <c r="K858" s="15" t="str">
        <f>HYPERLINK("http://twitter.com","Twitter Web Client")</f>
        <v>Twitter Web Client</v>
      </c>
      <c r="L858" s="14">
        <v>6587</v>
      </c>
      <c r="M858" s="14">
        <v>5744</v>
      </c>
      <c r="N858" s="14">
        <v>113</v>
      </c>
      <c r="O858" s="16"/>
      <c r="P858" s="6">
        <v>42145.725983796292</v>
      </c>
      <c r="Q858" s="11"/>
      <c r="R858" s="17" t="s">
        <v>3658</v>
      </c>
      <c r="S858" s="11"/>
      <c r="T858" s="11"/>
      <c r="U858" s="10" t="str">
        <f>HYPERLINK("https://pbs.twimg.com/profile_images/688361943980216320/dPEdRKru.jpg","View")</f>
        <v>View</v>
      </c>
    </row>
    <row r="859" spans="1:21" ht="30.6">
      <c r="A859" s="6">
        <v>43440.482060185182</v>
      </c>
      <c r="B859" s="7" t="str">
        <f>HYPERLINK("https://twitter.com/Albertxo23","@Albertxo23")</f>
        <v>@Albertxo23</v>
      </c>
      <c r="C859" s="8" t="s">
        <v>3013</v>
      </c>
      <c r="D859" s="9" t="s">
        <v>3014</v>
      </c>
      <c r="E859" s="10" t="str">
        <f>HYPERLINK("https://twitter.com/Albertxo23/status/1070627450319765504","1070627450319765504")</f>
        <v>1070627450319765504</v>
      </c>
      <c r="F859" s="11"/>
      <c r="G859" s="11"/>
      <c r="H859" s="11"/>
      <c r="I859" s="14">
        <v>0</v>
      </c>
      <c r="J859" s="14">
        <v>0</v>
      </c>
      <c r="K859" s="15" t="str">
        <f>HYPERLINK("http://twitter.com/download/android","Twitter for Android")</f>
        <v>Twitter for Android</v>
      </c>
      <c r="L859" s="14">
        <v>966</v>
      </c>
      <c r="M859" s="14">
        <v>384</v>
      </c>
      <c r="N859" s="14">
        <v>12</v>
      </c>
      <c r="O859" s="16"/>
      <c r="P859" s="6">
        <v>40368.665891203702</v>
      </c>
      <c r="Q859" s="12" t="s">
        <v>3015</v>
      </c>
      <c r="R859" s="17" t="s">
        <v>3016</v>
      </c>
      <c r="S859" s="11"/>
      <c r="T859" s="11"/>
      <c r="U859" s="10" t="str">
        <f>HYPERLINK("https://pbs.twimg.com/profile_images/1033518775595933698/1SdTrHv7.jpg","View")</f>
        <v>View</v>
      </c>
    </row>
    <row r="860" spans="1:21" ht="91.8">
      <c r="A860" s="6">
        <v>43440.481030092589</v>
      </c>
      <c r="B860" s="7" t="str">
        <f>HYPERLINK("https://twitter.com/fdiaz_p","@fdiaz_p")</f>
        <v>@fdiaz_p</v>
      </c>
      <c r="C860" s="8" t="s">
        <v>1340</v>
      </c>
      <c r="D860" s="9" t="s">
        <v>3017</v>
      </c>
      <c r="E860" s="10" t="str">
        <f>HYPERLINK("https://twitter.com/fdiaz_p/status/1070627077492260866","1070627077492260866")</f>
        <v>1070627077492260866</v>
      </c>
      <c r="F860" s="12" t="s">
        <v>3018</v>
      </c>
      <c r="G860" s="11"/>
      <c r="H860" s="11"/>
      <c r="I860" s="14">
        <v>0</v>
      </c>
      <c r="J860" s="14">
        <v>0</v>
      </c>
      <c r="K860" s="15" t="str">
        <f>HYPERLINK("http://twitter.com/download/iphone","Twitter for iPhone")</f>
        <v>Twitter for iPhone</v>
      </c>
      <c r="L860" s="14">
        <v>1025</v>
      </c>
      <c r="M860" s="14">
        <v>1125</v>
      </c>
      <c r="N860" s="14">
        <v>20</v>
      </c>
      <c r="O860" s="16"/>
      <c r="P860" s="6">
        <v>40922.892210648148</v>
      </c>
      <c r="Q860" s="12" t="s">
        <v>1341</v>
      </c>
      <c r="R860" s="17" t="s">
        <v>1342</v>
      </c>
      <c r="S860" s="13" t="s">
        <v>1343</v>
      </c>
      <c r="T860" s="11"/>
      <c r="U860" s="10" t="str">
        <f>HYPERLINK("https://pbs.twimg.com/profile_images/1004080179650625537/GPWzjyZ_.jpg","View")</f>
        <v>View</v>
      </c>
    </row>
    <row r="861" spans="1:21" ht="71.400000000000006">
      <c r="A861" s="6">
        <v>43440.480636574073</v>
      </c>
      <c r="B861" s="7" t="str">
        <f>HYPERLINK("https://twitter.com/MarianoSoto1972","@MarianoSoto1972")</f>
        <v>@MarianoSoto1972</v>
      </c>
      <c r="C861" s="8" t="s">
        <v>3019</v>
      </c>
      <c r="D861" s="9" t="s">
        <v>3020</v>
      </c>
      <c r="E861" s="10" t="str">
        <f>HYPERLINK("https://twitter.com/MarianoSoto1972/status/1070626937578668033","1070626937578668033")</f>
        <v>1070626937578668033</v>
      </c>
      <c r="F861" s="12" t="s">
        <v>3021</v>
      </c>
      <c r="G861" s="11"/>
      <c r="H861" s="11"/>
      <c r="I861" s="14">
        <v>4</v>
      </c>
      <c r="J861" s="14">
        <v>3</v>
      </c>
      <c r="K861" s="15" t="str">
        <f>HYPERLINK("http://twitter.com/download/android","Twitter for Android")</f>
        <v>Twitter for Android</v>
      </c>
      <c r="L861" s="14">
        <v>1991</v>
      </c>
      <c r="M861" s="14">
        <v>690</v>
      </c>
      <c r="N861" s="14">
        <v>75</v>
      </c>
      <c r="O861" s="16"/>
      <c r="P861" s="6">
        <v>41199.676516203705</v>
      </c>
      <c r="Q861" s="12" t="s">
        <v>3022</v>
      </c>
      <c r="R861" s="17" t="s">
        <v>3023</v>
      </c>
      <c r="S861" s="13" t="s">
        <v>3024</v>
      </c>
      <c r="T861" s="11"/>
      <c r="U861" s="10" t="str">
        <f>HYPERLINK("https://pbs.twimg.com/profile_images/985911578166996992/HfECwexn.jpg","View")</f>
        <v>View</v>
      </c>
    </row>
    <row r="862" spans="1:21" ht="102">
      <c r="A862" s="6">
        <v>43440.480219907404</v>
      </c>
      <c r="B862" s="7" t="str">
        <f>HYPERLINK("https://twitter.com/Counterflow6","@Counterflow6")</f>
        <v>@Counterflow6</v>
      </c>
      <c r="C862" s="8" t="s">
        <v>3031</v>
      </c>
      <c r="D862" s="9" t="s">
        <v>3032</v>
      </c>
      <c r="E862" s="10" t="str">
        <f>HYPERLINK("https://twitter.com/Counterflow6/status/1070626785723904001","1070626785723904001")</f>
        <v>1070626785723904001</v>
      </c>
      <c r="F862" s="13" t="s">
        <v>2949</v>
      </c>
      <c r="G862" s="13" t="s">
        <v>2950</v>
      </c>
      <c r="H862" s="11"/>
      <c r="I862" s="14">
        <v>5</v>
      </c>
      <c r="J862" s="14">
        <v>7</v>
      </c>
      <c r="K862" s="15" t="str">
        <f>HYPERLINK("http://twitter.com/download/iphone","Twitter for iPhone")</f>
        <v>Twitter for iPhone</v>
      </c>
      <c r="L862" s="14">
        <v>1365</v>
      </c>
      <c r="M862" s="14">
        <v>2640</v>
      </c>
      <c r="N862" s="14">
        <v>12</v>
      </c>
      <c r="O862" s="16"/>
      <c r="P862" s="6">
        <v>42352.009513888886</v>
      </c>
      <c r="Q862" s="12" t="s">
        <v>3033</v>
      </c>
      <c r="R862" s="18"/>
      <c r="S862" s="11"/>
      <c r="T862" s="11"/>
      <c r="U862" s="10" t="str">
        <f>HYPERLINK("https://pbs.twimg.com/profile_images/676179483192332289/RPTsdEsu.jpg","View")</f>
        <v>View</v>
      </c>
    </row>
    <row r="863" spans="1:21" ht="30.6">
      <c r="A863" s="6">
        <v>43440.479502314818</v>
      </c>
      <c r="B863" s="7" t="str">
        <f>HYPERLINK("https://twitter.com/telemadrid","@telemadrid")</f>
        <v>@telemadrid</v>
      </c>
      <c r="C863" s="8" t="s">
        <v>3034</v>
      </c>
      <c r="D863" s="9" t="s">
        <v>3035</v>
      </c>
      <c r="E863" s="10" t="str">
        <f>HYPERLINK("https://twitter.com/telemadrid/status/1070626526398418944","1070626526398418944")</f>
        <v>1070626526398418944</v>
      </c>
      <c r="F863" s="13" t="s">
        <v>3036</v>
      </c>
      <c r="G863" s="13" t="s">
        <v>3037</v>
      </c>
      <c r="H863" s="11"/>
      <c r="I863" s="14">
        <v>2</v>
      </c>
      <c r="J863" s="14">
        <v>4</v>
      </c>
      <c r="K863" s="15" t="str">
        <f>HYPERLINK("https://studio.twitter.com","Twitter Media Studio")</f>
        <v>Twitter Media Studio</v>
      </c>
      <c r="L863" s="14">
        <v>75671</v>
      </c>
      <c r="M863" s="14">
        <v>25</v>
      </c>
      <c r="N863" s="14">
        <v>1305</v>
      </c>
      <c r="O863" s="19" t="s">
        <v>42</v>
      </c>
      <c r="P863" s="6">
        <v>39918.718321759261</v>
      </c>
      <c r="Q863" s="12" t="s">
        <v>3038</v>
      </c>
      <c r="R863" s="17" t="s">
        <v>3039</v>
      </c>
      <c r="S863" s="13" t="s">
        <v>3040</v>
      </c>
      <c r="T863" s="11"/>
      <c r="U863" s="10" t="str">
        <f>HYPERLINK("https://pbs.twimg.com/profile_images/971892668484734976/7hF5iQca.jpg","View")</f>
        <v>View</v>
      </c>
    </row>
    <row r="864" spans="1:21" ht="13.2">
      <c r="A864" s="6">
        <v>43440.479490740741</v>
      </c>
      <c r="B864" s="7" t="str">
        <f>HYPERLINK("https://twitter.com/francipalomino","@francipalomino")</f>
        <v>@francipalomino</v>
      </c>
      <c r="C864" s="8" t="s">
        <v>3668</v>
      </c>
      <c r="D864" s="9" t="s">
        <v>2347</v>
      </c>
      <c r="E864" s="10" t="str">
        <f>HYPERLINK("https://twitter.com/francipalomino/status/1070626520685793280","1070626520685793280")</f>
        <v>1070626520685793280</v>
      </c>
      <c r="F864" s="13" t="s">
        <v>2349</v>
      </c>
      <c r="G864" s="11"/>
      <c r="H864" s="11"/>
      <c r="I864" s="14">
        <v>1</v>
      </c>
      <c r="J864" s="14">
        <v>2</v>
      </c>
      <c r="K864" s="15" t="str">
        <f t="shared" ref="K864:K865" si="162">HYPERLINK("http://twitter.com/download/android","Twitter for Android")</f>
        <v>Twitter for Android</v>
      </c>
      <c r="L864" s="14">
        <v>771</v>
      </c>
      <c r="M864" s="14">
        <v>1200</v>
      </c>
      <c r="N864" s="14">
        <v>21</v>
      </c>
      <c r="O864" s="16"/>
      <c r="P864" s="6">
        <v>41176.733182870368</v>
      </c>
      <c r="Q864" s="11"/>
      <c r="R864" s="18"/>
      <c r="S864" s="11"/>
      <c r="T864" s="11"/>
      <c r="U864" s="10" t="str">
        <f>HYPERLINK("https://pbs.twimg.com/profile_images/937646396123074560/0OgvgadV.jpg","View")</f>
        <v>View</v>
      </c>
    </row>
    <row r="865" spans="1:21" ht="61.2">
      <c r="A865" s="6">
        <v>43440.478738425925</v>
      </c>
      <c r="B865" s="7" t="str">
        <f>HYPERLINK("https://twitter.com/xvilabellam","@xvilabellam")</f>
        <v>@xvilabellam</v>
      </c>
      <c r="C865" s="8" t="s">
        <v>3041</v>
      </c>
      <c r="D865" s="9" t="s">
        <v>3042</v>
      </c>
      <c r="E865" s="10" t="str">
        <f>HYPERLINK("https://twitter.com/xvilabellam/status/1070626249775575040","1070626249775575040")</f>
        <v>1070626249775575040</v>
      </c>
      <c r="F865" s="11"/>
      <c r="G865" s="13" t="s">
        <v>3043</v>
      </c>
      <c r="H865" s="11"/>
      <c r="I865" s="14">
        <v>0</v>
      </c>
      <c r="J865" s="14">
        <v>0</v>
      </c>
      <c r="K865" s="15" t="str">
        <f t="shared" si="162"/>
        <v>Twitter for Android</v>
      </c>
      <c r="L865" s="14">
        <v>139</v>
      </c>
      <c r="M865" s="14">
        <v>119</v>
      </c>
      <c r="N865" s="14">
        <v>0</v>
      </c>
      <c r="O865" s="16"/>
      <c r="P865" s="6">
        <v>40837.419664351852</v>
      </c>
      <c r="Q865" s="11"/>
      <c r="R865" s="17" t="s">
        <v>3044</v>
      </c>
      <c r="S865" s="11"/>
      <c r="T865" s="11"/>
      <c r="U865" s="10" t="str">
        <f>HYPERLINK("https://pbs.twimg.com/profile_images/1001937259883581440/AuQbEvlk.jpg","View")</f>
        <v>View</v>
      </c>
    </row>
    <row r="866" spans="1:21" ht="30.6">
      <c r="A866" s="6">
        <v>43440.476967592593</v>
      </c>
      <c r="B866" s="7" t="str">
        <f>HYPERLINK("https://twitter.com/QJoroba","@QJoroba")</f>
        <v>@QJoroba</v>
      </c>
      <c r="C866" s="8" t="s">
        <v>3046</v>
      </c>
      <c r="D866" s="9" t="s">
        <v>3048</v>
      </c>
      <c r="E866" s="10" t="str">
        <f>HYPERLINK("https://twitter.com/QJoroba/status/1070625607048937472","1070625607048937472")</f>
        <v>1070625607048937472</v>
      </c>
      <c r="F866" s="11"/>
      <c r="G866" s="13" t="s">
        <v>3050</v>
      </c>
      <c r="H866" s="11"/>
      <c r="I866" s="14">
        <v>0</v>
      </c>
      <c r="J866" s="14">
        <v>0</v>
      </c>
      <c r="K866" s="15" t="str">
        <f>HYPERLINK("http://twitter.com/download/iphone","Twitter for iPhone")</f>
        <v>Twitter for iPhone</v>
      </c>
      <c r="L866" s="14">
        <v>51</v>
      </c>
      <c r="M866" s="14">
        <v>125</v>
      </c>
      <c r="N866" s="14">
        <v>0</v>
      </c>
      <c r="O866" s="16"/>
      <c r="P866" s="6">
        <v>43331.428599537037</v>
      </c>
      <c r="Q866" s="12" t="s">
        <v>3052</v>
      </c>
      <c r="R866" s="17" t="s">
        <v>3053</v>
      </c>
      <c r="S866" s="11"/>
      <c r="T866" s="11"/>
      <c r="U866" s="10" t="str">
        <f>HYPERLINK("https://pbs.twimg.com/profile_images/1031094038471090176/Su20jo_J.jpg","View")</f>
        <v>View</v>
      </c>
    </row>
    <row r="867" spans="1:21" ht="30.6">
      <c r="A867" s="6">
        <v>43440.476215277777</v>
      </c>
      <c r="B867" s="7" t="str">
        <f>HYPERLINK("https://twitter.com/Plumaroja20","@Plumaroja20")</f>
        <v>@Plumaroja20</v>
      </c>
      <c r="C867" s="8" t="s">
        <v>3671</v>
      </c>
      <c r="D867" s="9" t="s">
        <v>3672</v>
      </c>
      <c r="E867" s="10" t="str">
        <f>HYPERLINK("https://twitter.com/Plumaroja20/status/1070625335258046464","1070625335258046464")</f>
        <v>1070625335258046464</v>
      </c>
      <c r="F867" s="11"/>
      <c r="G867" s="13" t="s">
        <v>3673</v>
      </c>
      <c r="H867" s="11"/>
      <c r="I867" s="14">
        <v>13</v>
      </c>
      <c r="J867" s="14">
        <v>7</v>
      </c>
      <c r="K867" s="15" t="str">
        <f>HYPERLINK("http://twitter.com","Twitter Web Client")</f>
        <v>Twitter Web Client</v>
      </c>
      <c r="L867" s="14">
        <v>6912</v>
      </c>
      <c r="M867" s="14">
        <v>5850</v>
      </c>
      <c r="N867" s="14">
        <v>59</v>
      </c>
      <c r="O867" s="16"/>
      <c r="P867" s="6">
        <v>40727.582638888889</v>
      </c>
      <c r="Q867" s="12" t="s">
        <v>3674</v>
      </c>
      <c r="R867" s="17" t="s">
        <v>3675</v>
      </c>
      <c r="S867" s="13" t="s">
        <v>3676</v>
      </c>
      <c r="T867" s="11"/>
      <c r="U867" s="10" t="str">
        <f>HYPERLINK("https://pbs.twimg.com/profile_images/1071094242825654273/YLPiI1mO.jpg","View")</f>
        <v>View</v>
      </c>
    </row>
    <row r="868" spans="1:21" ht="40.799999999999997">
      <c r="A868" s="6">
        <v>43440.476145833338</v>
      </c>
      <c r="B868" s="7" t="str">
        <f>HYPERLINK("https://twitter.com/juande93","@juande93")</f>
        <v>@juande93</v>
      </c>
      <c r="C868" s="8" t="s">
        <v>3677</v>
      </c>
      <c r="D868" s="9" t="s">
        <v>3678</v>
      </c>
      <c r="E868" s="10" t="str">
        <f>HYPERLINK("https://twitter.com/juande93/status/1070625308473208832","1070625308473208832")</f>
        <v>1070625308473208832</v>
      </c>
      <c r="F868" s="11"/>
      <c r="G868" s="11"/>
      <c r="H868" s="11"/>
      <c r="I868" s="14">
        <v>3</v>
      </c>
      <c r="J868" s="14">
        <v>19</v>
      </c>
      <c r="K868" s="15" t="str">
        <f>HYPERLINK("http://twitter.com/download/android","Twitter for Android")</f>
        <v>Twitter for Android</v>
      </c>
      <c r="L868" s="14">
        <v>10101</v>
      </c>
      <c r="M868" s="14">
        <v>6560</v>
      </c>
      <c r="N868" s="14">
        <v>116</v>
      </c>
      <c r="O868" s="16"/>
      <c r="P868" s="6">
        <v>39986.737974537034</v>
      </c>
      <c r="Q868" s="12" t="s">
        <v>3682</v>
      </c>
      <c r="R868" s="17" t="s">
        <v>3683</v>
      </c>
      <c r="S868" s="11"/>
      <c r="T868" s="11"/>
      <c r="U868" s="10" t="str">
        <f>HYPERLINK("https://pbs.twimg.com/profile_images/881428329454333952/F0U_5FK4.jpg","View")</f>
        <v>View</v>
      </c>
    </row>
    <row r="869" spans="1:21" ht="61.2">
      <c r="A869" s="6">
        <v>43440.476018518515</v>
      </c>
      <c r="B869" s="7" t="str">
        <f>HYPERLINK("https://twitter.com/arruixakplou","@arruixakplou")</f>
        <v>@arruixakplou</v>
      </c>
      <c r="C869" s="8" t="s">
        <v>3054</v>
      </c>
      <c r="D869" s="9" t="s">
        <v>3055</v>
      </c>
      <c r="E869" s="10" t="str">
        <f>HYPERLINK("https://twitter.com/arruixakplou/status/1070625264374296576","1070625264374296576")</f>
        <v>1070625264374296576</v>
      </c>
      <c r="F869" s="11"/>
      <c r="G869" s="13" t="s">
        <v>3056</v>
      </c>
      <c r="H869" s="11"/>
      <c r="I869" s="14">
        <v>0</v>
      </c>
      <c r="J869" s="14">
        <v>0</v>
      </c>
      <c r="K869" s="15" t="str">
        <f t="shared" ref="K869:K870" si="163">HYPERLINK("http://twitter.com/download/iphone","Twitter for iPhone")</f>
        <v>Twitter for iPhone</v>
      </c>
      <c r="L869" s="14">
        <v>179</v>
      </c>
      <c r="M869" s="14">
        <v>889</v>
      </c>
      <c r="N869" s="14">
        <v>5</v>
      </c>
      <c r="O869" s="16"/>
      <c r="P869" s="6">
        <v>42265.645902777775</v>
      </c>
      <c r="Q869" s="12" t="s">
        <v>3059</v>
      </c>
      <c r="R869" s="17" t="s">
        <v>3060</v>
      </c>
      <c r="S869" s="11"/>
      <c r="T869" s="11"/>
      <c r="U869" s="10" t="str">
        <f>HYPERLINK("https://pbs.twimg.com/profile_images/733953907974508544/YYbR34W2.jpg","View")</f>
        <v>View</v>
      </c>
    </row>
    <row r="870" spans="1:21" ht="51">
      <c r="A870" s="6">
        <v>43440.474918981483</v>
      </c>
      <c r="B870" s="7" t="str">
        <f>HYPERLINK("https://twitter.com/El_Piccolo_","@El_Piccolo_")</f>
        <v>@El_Piccolo_</v>
      </c>
      <c r="C870" s="8" t="s">
        <v>3689</v>
      </c>
      <c r="D870" s="9" t="s">
        <v>3690</v>
      </c>
      <c r="E870" s="10" t="str">
        <f>HYPERLINK("https://twitter.com/El_Piccolo_/status/1070624865793830912","1070624865793830912")</f>
        <v>1070624865793830912</v>
      </c>
      <c r="F870" s="11"/>
      <c r="G870" s="11"/>
      <c r="H870" s="11"/>
      <c r="I870" s="14">
        <v>0</v>
      </c>
      <c r="J870" s="14">
        <v>2</v>
      </c>
      <c r="K870" s="15" t="str">
        <f t="shared" si="163"/>
        <v>Twitter for iPhone</v>
      </c>
      <c r="L870" s="14">
        <v>104</v>
      </c>
      <c r="M870" s="14">
        <v>405</v>
      </c>
      <c r="N870" s="14">
        <v>2</v>
      </c>
      <c r="O870" s="16"/>
      <c r="P870" s="6">
        <v>40641.61042824074</v>
      </c>
      <c r="Q870" s="12" t="s">
        <v>3691</v>
      </c>
      <c r="R870" s="17" t="s">
        <v>3693</v>
      </c>
      <c r="S870" s="13" t="s">
        <v>3694</v>
      </c>
      <c r="T870" s="11"/>
      <c r="U870" s="10" t="str">
        <f>HYPERLINK("https://pbs.twimg.com/profile_images/1028586812854464513/AhjyqrQO.jpg","View")</f>
        <v>View</v>
      </c>
    </row>
    <row r="871" spans="1:21" ht="112.2">
      <c r="A871" s="6">
        <v>43440.473576388889</v>
      </c>
      <c r="B871" s="7" t="str">
        <f>HYPERLINK("https://twitter.com/JuanmaCaracuel","@JuanmaCaracuel")</f>
        <v>@JuanmaCaracuel</v>
      </c>
      <c r="C871" s="8" t="s">
        <v>3064</v>
      </c>
      <c r="D871" s="9" t="s">
        <v>3065</v>
      </c>
      <c r="E871" s="10" t="str">
        <f>HYPERLINK("https://twitter.com/JuanmaCaracuel/status/1070624375630716929","1070624375630716929")</f>
        <v>1070624375630716929</v>
      </c>
      <c r="F871" s="13" t="s">
        <v>2949</v>
      </c>
      <c r="G871" s="13" t="s">
        <v>2950</v>
      </c>
      <c r="H871" s="11"/>
      <c r="I871" s="14">
        <v>0</v>
      </c>
      <c r="J871" s="14">
        <v>0</v>
      </c>
      <c r="K871" s="15" t="str">
        <f t="shared" ref="K871:K875" si="164">HYPERLINK("http://twitter.com/download/android","Twitter for Android")</f>
        <v>Twitter for Android</v>
      </c>
      <c r="L871" s="14">
        <v>317</v>
      </c>
      <c r="M871" s="14">
        <v>248</v>
      </c>
      <c r="N871" s="14">
        <v>3</v>
      </c>
      <c r="O871" s="16"/>
      <c r="P871" s="6">
        <v>40739.509375000001</v>
      </c>
      <c r="Q871" s="12" t="s">
        <v>3071</v>
      </c>
      <c r="R871" s="17" t="s">
        <v>3072</v>
      </c>
      <c r="S871" s="11"/>
      <c r="T871" s="11"/>
      <c r="U871" s="10" t="str">
        <f>HYPERLINK("https://pbs.twimg.com/profile_images/1070575554812919810/KfjCFwGi.jpg","View")</f>
        <v>View</v>
      </c>
    </row>
    <row r="872" spans="1:21" ht="51">
      <c r="A872" s="6">
        <v>43440.472372685181</v>
      </c>
      <c r="B872" s="7" t="str">
        <f>HYPERLINK("https://twitter.com/GBCLopi","@GBCLopi")</f>
        <v>@GBCLopi</v>
      </c>
      <c r="C872" s="8" t="s">
        <v>3697</v>
      </c>
      <c r="D872" s="9" t="s">
        <v>3698</v>
      </c>
      <c r="E872" s="10" t="str">
        <f>HYPERLINK("https://twitter.com/GBCLopi/status/1070623940010217472","1070623940010217472")</f>
        <v>1070623940010217472</v>
      </c>
      <c r="F872" s="11"/>
      <c r="G872" s="11"/>
      <c r="H872" s="11"/>
      <c r="I872" s="14">
        <v>1</v>
      </c>
      <c r="J872" s="14">
        <v>1</v>
      </c>
      <c r="K872" s="15" t="str">
        <f t="shared" si="164"/>
        <v>Twitter for Android</v>
      </c>
      <c r="L872" s="14">
        <v>308</v>
      </c>
      <c r="M872" s="14">
        <v>265</v>
      </c>
      <c r="N872" s="14">
        <v>9</v>
      </c>
      <c r="O872" s="16"/>
      <c r="P872" s="6">
        <v>40572.538761574076</v>
      </c>
      <c r="Q872" s="12" t="s">
        <v>3699</v>
      </c>
      <c r="R872" s="17" t="s">
        <v>3700</v>
      </c>
      <c r="S872" s="11"/>
      <c r="T872" s="11"/>
      <c r="U872" s="10" t="str">
        <f>HYPERLINK("https://pbs.twimg.com/profile_images/378800000553609082/7a07f85e9e59c55f89ea1b801b061508.jpeg","View")</f>
        <v>View</v>
      </c>
    </row>
    <row r="873" spans="1:21" ht="20.399999999999999">
      <c r="A873" s="6">
        <v>43440.471724537041</v>
      </c>
      <c r="B873" s="7" t="str">
        <f>HYPERLINK("https://twitter.com/jorgesanjuanm","@jorgesanjuanm")</f>
        <v>@jorgesanjuanm</v>
      </c>
      <c r="C873" s="8" t="s">
        <v>3078</v>
      </c>
      <c r="D873" s="9" t="s">
        <v>3079</v>
      </c>
      <c r="E873" s="10" t="str">
        <f>HYPERLINK("https://twitter.com/jorgesanjuanm/status/1070623704982454272","1070623704982454272")</f>
        <v>1070623704982454272</v>
      </c>
      <c r="F873" s="11"/>
      <c r="G873" s="11"/>
      <c r="H873" s="11"/>
      <c r="I873" s="14">
        <v>0</v>
      </c>
      <c r="J873" s="14">
        <v>0</v>
      </c>
      <c r="K873" s="15" t="str">
        <f t="shared" si="164"/>
        <v>Twitter for Android</v>
      </c>
      <c r="L873" s="14">
        <v>97</v>
      </c>
      <c r="M873" s="14">
        <v>425</v>
      </c>
      <c r="N873" s="14">
        <v>5</v>
      </c>
      <c r="O873" s="16"/>
      <c r="P873" s="6">
        <v>40993.700740740736</v>
      </c>
      <c r="Q873" s="11"/>
      <c r="R873" s="18"/>
      <c r="S873" s="13" t="s">
        <v>3080</v>
      </c>
      <c r="T873" s="11"/>
      <c r="U873" s="10" t="str">
        <f>HYPERLINK("https://pbs.twimg.com/profile_images/658038731216191488/PKLytxIK.jpg","View")</f>
        <v>View</v>
      </c>
    </row>
    <row r="874" spans="1:21" ht="51">
      <c r="A874" s="6">
        <v>43440.471446759257</v>
      </c>
      <c r="B874" s="7" t="str">
        <f>HYPERLINK("https://twitter.com/CsSevEste","@CsSevEste")</f>
        <v>@CsSevEste</v>
      </c>
      <c r="C874" s="8" t="s">
        <v>3081</v>
      </c>
      <c r="D874" s="9" t="s">
        <v>3082</v>
      </c>
      <c r="E874" s="10" t="str">
        <f>HYPERLINK("https://twitter.com/CsSevEste/status/1070623605682249728","1070623605682249728")</f>
        <v>1070623605682249728</v>
      </c>
      <c r="F874" s="13" t="s">
        <v>2240</v>
      </c>
      <c r="G874" s="13" t="s">
        <v>3083</v>
      </c>
      <c r="H874" s="11"/>
      <c r="I874" s="14">
        <v>12</v>
      </c>
      <c r="J874" s="14">
        <v>14</v>
      </c>
      <c r="K874" s="15" t="str">
        <f t="shared" si="164"/>
        <v>Twitter for Android</v>
      </c>
      <c r="L874" s="14">
        <v>1005</v>
      </c>
      <c r="M874" s="14">
        <v>1286</v>
      </c>
      <c r="N874" s="14">
        <v>18</v>
      </c>
      <c r="O874" s="16"/>
      <c r="P874" s="6">
        <v>42336.830138888894</v>
      </c>
      <c r="Q874" s="12" t="s">
        <v>969</v>
      </c>
      <c r="R874" s="17" t="s">
        <v>3084</v>
      </c>
      <c r="S874" s="11"/>
      <c r="T874" s="11"/>
      <c r="U874" s="10" t="str">
        <f>HYPERLINK("https://pbs.twimg.com/profile_images/830036319694884864/PEGW1Svz.jpg","View")</f>
        <v>View</v>
      </c>
    </row>
    <row r="875" spans="1:21" ht="40.799999999999997">
      <c r="A875" s="6">
        <v>43440.471261574072</v>
      </c>
      <c r="B875" s="7" t="str">
        <f>HYPERLINK("https://twitter.com/finacapacete","@finacapacete")</f>
        <v>@finacapacete</v>
      </c>
      <c r="C875" s="8" t="s">
        <v>2189</v>
      </c>
      <c r="D875" s="9" t="s">
        <v>3085</v>
      </c>
      <c r="E875" s="10" t="str">
        <f>HYPERLINK("https://twitter.com/finacapacete/status/1070623537919131651","1070623537919131651")</f>
        <v>1070623537919131651</v>
      </c>
      <c r="F875" s="12" t="s">
        <v>1244</v>
      </c>
      <c r="G875" s="11"/>
      <c r="H875" s="11"/>
      <c r="I875" s="14">
        <v>0</v>
      </c>
      <c r="J875" s="14">
        <v>0</v>
      </c>
      <c r="K875" s="15" t="str">
        <f t="shared" si="164"/>
        <v>Twitter for Android</v>
      </c>
      <c r="L875" s="14">
        <v>1397</v>
      </c>
      <c r="M875" s="14">
        <v>1553</v>
      </c>
      <c r="N875" s="14">
        <v>12</v>
      </c>
      <c r="O875" s="16"/>
      <c r="P875" s="6">
        <v>41629.02820601852</v>
      </c>
      <c r="Q875" s="12" t="s">
        <v>2197</v>
      </c>
      <c r="R875" s="17" t="s">
        <v>2198</v>
      </c>
      <c r="S875" s="11"/>
      <c r="T875" s="11"/>
      <c r="U875" s="10" t="str">
        <f>HYPERLINK("https://pbs.twimg.com/profile_images/970690987675799552/dmwu2xhE.jpg","View")</f>
        <v>View</v>
      </c>
    </row>
    <row r="876" spans="1:21" ht="51">
      <c r="A876" s="6">
        <v>43440.47111111111</v>
      </c>
      <c r="B876" s="7" t="str">
        <f>HYPERLINK("https://twitter.com/CiudadanosIbiza","@CiudadanosIbiza")</f>
        <v>@CiudadanosIbiza</v>
      </c>
      <c r="C876" s="8" t="s">
        <v>3092</v>
      </c>
      <c r="D876" s="9" t="s">
        <v>3093</v>
      </c>
      <c r="E876" s="10" t="str">
        <f>HYPERLINK("https://twitter.com/CiudadanosIbiza/status/1070623485494521856","1070623485494521856")</f>
        <v>1070623485494521856</v>
      </c>
      <c r="F876" s="11"/>
      <c r="G876" s="13" t="s">
        <v>3094</v>
      </c>
      <c r="H876" s="11"/>
      <c r="I876" s="14">
        <v>8</v>
      </c>
      <c r="J876" s="14">
        <v>8</v>
      </c>
      <c r="K876" s="15" t="str">
        <f>HYPERLINK("http://twitter.com/download/iphone","Twitter for iPhone")</f>
        <v>Twitter for iPhone</v>
      </c>
      <c r="L876" s="14">
        <v>1008</v>
      </c>
      <c r="M876" s="14">
        <v>857</v>
      </c>
      <c r="N876" s="14">
        <v>18</v>
      </c>
      <c r="O876" s="16"/>
      <c r="P876" s="6">
        <v>42276.928530092591</v>
      </c>
      <c r="Q876" s="12" t="s">
        <v>3095</v>
      </c>
      <c r="R876" s="17" t="s">
        <v>3096</v>
      </c>
      <c r="S876" s="13" t="s">
        <v>3097</v>
      </c>
      <c r="T876" s="11"/>
      <c r="U876" s="10" t="str">
        <f>HYPERLINK("https://pbs.twimg.com/profile_images/899332904878256128/7VuVV558.jpg","View")</f>
        <v>View</v>
      </c>
    </row>
    <row r="877" spans="1:21" ht="51">
      <c r="A877" s="6">
        <v>43440.471053240741</v>
      </c>
      <c r="B877" s="7" t="str">
        <f>HYPERLINK("https://twitter.com/MissTyCo","@MissTyCo")</f>
        <v>@MissTyCo</v>
      </c>
      <c r="C877" s="8" t="s">
        <v>3705</v>
      </c>
      <c r="D877" s="9" t="s">
        <v>3706</v>
      </c>
      <c r="E877" s="10" t="str">
        <f>HYPERLINK("https://twitter.com/MissTyCo/status/1070623464011296768","1070623464011296768")</f>
        <v>1070623464011296768</v>
      </c>
      <c r="F877" s="11"/>
      <c r="G877" s="11"/>
      <c r="H877" s="11"/>
      <c r="I877" s="14">
        <v>0</v>
      </c>
      <c r="J877" s="14">
        <v>3</v>
      </c>
      <c r="K877" s="15" t="str">
        <f>HYPERLINK("http://twitter.com/download/android","Twitter for Android")</f>
        <v>Twitter for Android</v>
      </c>
      <c r="L877" s="14">
        <v>2166</v>
      </c>
      <c r="M877" s="14">
        <v>2197</v>
      </c>
      <c r="N877" s="14">
        <v>5</v>
      </c>
      <c r="O877" s="16"/>
      <c r="P877" s="6">
        <v>41679.819363425922</v>
      </c>
      <c r="Q877" s="12" t="s">
        <v>137</v>
      </c>
      <c r="R877" s="17" t="s">
        <v>3709</v>
      </c>
      <c r="S877" s="11"/>
      <c r="T877" s="11"/>
      <c r="U877" s="10" t="str">
        <f>HYPERLINK("https://pbs.twimg.com/profile_images/961568251305132032/ux-iXnNn.jpg","View")</f>
        <v>View</v>
      </c>
    </row>
    <row r="878" spans="1:21" ht="102">
      <c r="A878" s="6">
        <v>43440.470856481479</v>
      </c>
      <c r="B878" s="7" t="str">
        <f>HYPERLINK("https://twitter.com/AGGP49","@AGGP49")</f>
        <v>@AGGP49</v>
      </c>
      <c r="C878" s="8" t="s">
        <v>3098</v>
      </c>
      <c r="D878" s="9" t="s">
        <v>3099</v>
      </c>
      <c r="E878" s="10" t="str">
        <f>HYPERLINK("https://twitter.com/AGGP49/status/1070623393081421824","1070623393081421824")</f>
        <v>1070623393081421824</v>
      </c>
      <c r="F878" s="13" t="s">
        <v>3100</v>
      </c>
      <c r="G878" s="13" t="s">
        <v>3102</v>
      </c>
      <c r="H878" s="11"/>
      <c r="I878" s="14">
        <v>0</v>
      </c>
      <c r="J878" s="14">
        <v>0</v>
      </c>
      <c r="K878" s="15" t="str">
        <f t="shared" ref="K878:K879" si="165">HYPERLINK("http://twitter.com","Twitter Web Client")</f>
        <v>Twitter Web Client</v>
      </c>
      <c r="L878" s="14">
        <v>340</v>
      </c>
      <c r="M878" s="14">
        <v>780</v>
      </c>
      <c r="N878" s="14">
        <v>4</v>
      </c>
      <c r="O878" s="16"/>
      <c r="P878" s="6">
        <v>40133.538773148146</v>
      </c>
      <c r="Q878" s="11"/>
      <c r="R878" s="18"/>
      <c r="S878" s="11"/>
      <c r="T878" s="11"/>
      <c r="U878" s="10" t="str">
        <f>HYPERLINK("https://pbs.twimg.com/profile_images/3369292294/e0628b57cdfa22c1435c58350637f401.png","View")</f>
        <v>View</v>
      </c>
    </row>
    <row r="879" spans="1:21" ht="40.799999999999997">
      <c r="A879" s="6">
        <v>43440.470405092594</v>
      </c>
      <c r="B879" s="7" t="str">
        <f>HYPERLINK("https://twitter.com/CMM_noticias","@CMM_noticias")</f>
        <v>@CMM_noticias</v>
      </c>
      <c r="C879" s="8" t="s">
        <v>139</v>
      </c>
      <c r="D879" s="9" t="s">
        <v>3104</v>
      </c>
      <c r="E879" s="10" t="str">
        <f>HYPERLINK("https://twitter.com/CMM_noticias/status/1070623229289615361","1070623229289615361")</f>
        <v>1070623229289615361</v>
      </c>
      <c r="F879" s="11"/>
      <c r="G879" s="13" t="s">
        <v>3105</v>
      </c>
      <c r="H879" s="11"/>
      <c r="I879" s="14">
        <v>7</v>
      </c>
      <c r="J879" s="14">
        <v>10</v>
      </c>
      <c r="K879" s="15" t="str">
        <f t="shared" si="165"/>
        <v>Twitter Web Client</v>
      </c>
      <c r="L879" s="14">
        <v>8408</v>
      </c>
      <c r="M879" s="14">
        <v>637</v>
      </c>
      <c r="N879" s="14">
        <v>118</v>
      </c>
      <c r="O879" s="19" t="s">
        <v>42</v>
      </c>
      <c r="P879" s="6">
        <v>42045.504745370374</v>
      </c>
      <c r="Q879" s="12" t="s">
        <v>148</v>
      </c>
      <c r="R879" s="17" t="s">
        <v>149</v>
      </c>
      <c r="S879" s="13" t="s">
        <v>150</v>
      </c>
      <c r="T879" s="11"/>
      <c r="U879" s="10" t="str">
        <f>HYPERLINK("https://pbs.twimg.com/profile_images/1066829198361354240/Qucrag5t.jpg","View")</f>
        <v>View</v>
      </c>
    </row>
    <row r="880" spans="1:21" ht="51">
      <c r="A880" s="6">
        <v>43440.469884259262</v>
      </c>
      <c r="B880" s="7" t="str">
        <f>HYPERLINK("https://twitter.com/vic_almiron","@vic_almiron")</f>
        <v>@vic_almiron</v>
      </c>
      <c r="C880" s="8" t="s">
        <v>3106</v>
      </c>
      <c r="D880" s="9" t="s">
        <v>3107</v>
      </c>
      <c r="E880" s="10" t="str">
        <f>HYPERLINK("https://twitter.com/vic_almiron/status/1070623039358992385","1070623039358992385")</f>
        <v>1070623039358992385</v>
      </c>
      <c r="F880" s="11"/>
      <c r="G880" s="11"/>
      <c r="H880" s="11"/>
      <c r="I880" s="14">
        <v>5</v>
      </c>
      <c r="J880" s="14">
        <v>7</v>
      </c>
      <c r="K880" s="15" t="str">
        <f>HYPERLINK("http://twitter.com/download/iphone","Twitter for iPhone")</f>
        <v>Twitter for iPhone</v>
      </c>
      <c r="L880" s="14">
        <v>2070</v>
      </c>
      <c r="M880" s="14">
        <v>1234</v>
      </c>
      <c r="N880" s="14">
        <v>87</v>
      </c>
      <c r="O880" s="16"/>
      <c r="P880" s="6">
        <v>40448.670092592591</v>
      </c>
      <c r="Q880" s="12" t="s">
        <v>29</v>
      </c>
      <c r="R880" s="17" t="s">
        <v>3108</v>
      </c>
      <c r="S880" s="13" t="s">
        <v>3109</v>
      </c>
      <c r="T880" s="11"/>
      <c r="U880" s="10" t="str">
        <f>HYPERLINK("https://pbs.twimg.com/profile_images/851126623441211393/bNJrdJaS.jpg","View")</f>
        <v>View</v>
      </c>
    </row>
    <row r="881" spans="1:21" ht="30.6">
      <c r="A881" s="6">
        <v>43440.469236111108</v>
      </c>
      <c r="B881" s="7" t="str">
        <f>HYPERLINK("https://twitter.com/angel_lapelos","@angel_lapelos")</f>
        <v>@angel_lapelos</v>
      </c>
      <c r="C881" s="8" t="s">
        <v>3719</v>
      </c>
      <c r="D881" s="9" t="s">
        <v>3720</v>
      </c>
      <c r="E881" s="10" t="str">
        <f>HYPERLINK("https://twitter.com/angel_lapelos/status/1070622802867294208","1070622802867294208")</f>
        <v>1070622802867294208</v>
      </c>
      <c r="F881" s="11"/>
      <c r="G881" s="13" t="s">
        <v>3721</v>
      </c>
      <c r="H881" s="11"/>
      <c r="I881" s="14">
        <v>4</v>
      </c>
      <c r="J881" s="14">
        <v>5</v>
      </c>
      <c r="K881" s="15" t="str">
        <f t="shared" ref="K881:K885" si="166">HYPERLINK("http://twitter.com/download/android","Twitter for Android")</f>
        <v>Twitter for Android</v>
      </c>
      <c r="L881" s="14">
        <v>1438</v>
      </c>
      <c r="M881" s="14">
        <v>1425</v>
      </c>
      <c r="N881" s="14">
        <v>39</v>
      </c>
      <c r="O881" s="16"/>
      <c r="P881" s="6">
        <v>41980.994618055556</v>
      </c>
      <c r="Q881" s="11"/>
      <c r="R881" s="17" t="s">
        <v>3722</v>
      </c>
      <c r="S881" s="11"/>
      <c r="T881" s="11"/>
      <c r="U881" s="10" t="str">
        <f>HYPERLINK("https://pbs.twimg.com/profile_images/1058680423361011712/zH3ftYWk.jpg","View")</f>
        <v>View</v>
      </c>
    </row>
    <row r="882" spans="1:21" ht="30.6">
      <c r="A882" s="6">
        <v>43440.468877314815</v>
      </c>
      <c r="B882" s="7" t="str">
        <f>HYPERLINK("https://twitter.com/Indroxilo","@Indroxilo")</f>
        <v>@Indroxilo</v>
      </c>
      <c r="C882" s="8" t="s">
        <v>3725</v>
      </c>
      <c r="D882" s="9" t="s">
        <v>3726</v>
      </c>
      <c r="E882" s="10" t="str">
        <f>HYPERLINK("https://twitter.com/Indroxilo/status/1070622672952938496","1070622672952938496")</f>
        <v>1070622672952938496</v>
      </c>
      <c r="F882" s="11"/>
      <c r="G882" s="11"/>
      <c r="H882" s="11"/>
      <c r="I882" s="14">
        <v>0</v>
      </c>
      <c r="J882" s="14">
        <v>0</v>
      </c>
      <c r="K882" s="15" t="str">
        <f t="shared" si="166"/>
        <v>Twitter for Android</v>
      </c>
      <c r="L882" s="14">
        <v>337</v>
      </c>
      <c r="M882" s="14">
        <v>663</v>
      </c>
      <c r="N882" s="14">
        <v>13</v>
      </c>
      <c r="O882" s="16"/>
      <c r="P882" s="6">
        <v>41797.794675925928</v>
      </c>
      <c r="Q882" s="12" t="s">
        <v>137</v>
      </c>
      <c r="R882" s="17" t="s">
        <v>3729</v>
      </c>
      <c r="S882" s="11"/>
      <c r="T882" s="11"/>
      <c r="U882" s="10" t="str">
        <f>HYPERLINK("https://pbs.twimg.com/profile_images/1051263374259032066/86jdxQYM.jpg","View")</f>
        <v>View</v>
      </c>
    </row>
    <row r="883" spans="1:21" ht="20.399999999999999">
      <c r="A883" s="6">
        <v>43440.468854166669</v>
      </c>
      <c r="B883" s="7" t="str">
        <f>HYPERLINK("https://twitter.com/twicezelbt","@twicezelbt")</f>
        <v>@twicezelbt</v>
      </c>
      <c r="C883" s="8" t="s">
        <v>3731</v>
      </c>
      <c r="D883" s="9" t="s">
        <v>3732</v>
      </c>
      <c r="E883" s="10" t="str">
        <f>HYPERLINK("https://twitter.com/twicezelbt/status/1070622667387101184","1070622667387101184")</f>
        <v>1070622667387101184</v>
      </c>
      <c r="F883" s="11"/>
      <c r="G883" s="11"/>
      <c r="H883" s="11"/>
      <c r="I883" s="14">
        <v>0</v>
      </c>
      <c r="J883" s="14">
        <v>1</v>
      </c>
      <c r="K883" s="15" t="str">
        <f t="shared" si="166"/>
        <v>Twitter for Android</v>
      </c>
      <c r="L883" s="14">
        <v>1000</v>
      </c>
      <c r="M883" s="14">
        <v>986</v>
      </c>
      <c r="N883" s="14">
        <v>8</v>
      </c>
      <c r="O883" s="16"/>
      <c r="P883" s="6">
        <v>43011.629837962959</v>
      </c>
      <c r="Q883" s="12" t="s">
        <v>1060</v>
      </c>
      <c r="R883" s="17" t="s">
        <v>3733</v>
      </c>
      <c r="S883" s="11"/>
      <c r="T883" s="11"/>
      <c r="U883" s="10" t="str">
        <f>HYPERLINK("https://pbs.twimg.com/profile_images/1071383912402878464/JbHWuxtc.jpg","View")</f>
        <v>View</v>
      </c>
    </row>
    <row r="884" spans="1:21" ht="61.2">
      <c r="A884" s="6">
        <v>43440.467581018514</v>
      </c>
      <c r="B884" s="7" t="str">
        <f>HYPERLINK("https://twitter.com/anslorente","@anslorente")</f>
        <v>@anslorente</v>
      </c>
      <c r="C884" s="8" t="s">
        <v>3111</v>
      </c>
      <c r="D884" s="9" t="s">
        <v>3113</v>
      </c>
      <c r="E884" s="10" t="str">
        <f>HYPERLINK("https://twitter.com/anslorente/status/1070622202930712576","1070622202930712576")</f>
        <v>1070622202930712576</v>
      </c>
      <c r="F884" s="11"/>
      <c r="G884" s="13" t="s">
        <v>3115</v>
      </c>
      <c r="H884" s="11"/>
      <c r="I884" s="14">
        <v>2</v>
      </c>
      <c r="J884" s="14">
        <v>3</v>
      </c>
      <c r="K884" s="15" t="str">
        <f t="shared" si="166"/>
        <v>Twitter for Android</v>
      </c>
      <c r="L884" s="14">
        <v>648</v>
      </c>
      <c r="M884" s="14">
        <v>783</v>
      </c>
      <c r="N884" s="14">
        <v>15</v>
      </c>
      <c r="O884" s="16"/>
      <c r="P884" s="6">
        <v>41900.877604166664</v>
      </c>
      <c r="Q884" s="12" t="s">
        <v>3118</v>
      </c>
      <c r="R884" s="17" t="s">
        <v>3119</v>
      </c>
      <c r="S884" s="11"/>
      <c r="T884" s="11"/>
      <c r="U884" s="10" t="str">
        <f>HYPERLINK("https://pbs.twimg.com/profile_images/1022843015973556224/bvEi0AIy.jpg","View")</f>
        <v>View</v>
      </c>
    </row>
    <row r="885" spans="1:21" ht="40.799999999999997">
      <c r="A885" s="6">
        <v>43440.467314814814</v>
      </c>
      <c r="B885" s="7" t="str">
        <f>HYPERLINK("https://twitter.com/osvalbuena","@osvalbuena")</f>
        <v>@osvalbuena</v>
      </c>
      <c r="C885" s="8" t="s">
        <v>3122</v>
      </c>
      <c r="D885" s="9" t="s">
        <v>3123</v>
      </c>
      <c r="E885" s="10" t="str">
        <f>HYPERLINK("https://twitter.com/osvalbuena/status/1070622109976662016","1070622109976662016")</f>
        <v>1070622109976662016</v>
      </c>
      <c r="F885" s="11"/>
      <c r="G885" s="11"/>
      <c r="H885" s="11"/>
      <c r="I885" s="14">
        <v>0</v>
      </c>
      <c r="J885" s="14">
        <v>0</v>
      </c>
      <c r="K885" s="15" t="str">
        <f t="shared" si="166"/>
        <v>Twitter for Android</v>
      </c>
      <c r="L885" s="14">
        <v>1888</v>
      </c>
      <c r="M885" s="14">
        <v>1718</v>
      </c>
      <c r="N885" s="14">
        <v>29</v>
      </c>
      <c r="O885" s="16"/>
      <c r="P885" s="6">
        <v>40734.987326388888</v>
      </c>
      <c r="Q885" s="12" t="s">
        <v>3124</v>
      </c>
      <c r="R885" s="17" t="s">
        <v>3126</v>
      </c>
      <c r="S885" s="13" t="s">
        <v>3128</v>
      </c>
      <c r="T885" s="11"/>
      <c r="U885" s="10" t="str">
        <f>HYPERLINK("https://pbs.twimg.com/profile_images/1054842378882895877/wxD4TBZr.jpg","View")</f>
        <v>View</v>
      </c>
    </row>
    <row r="886" spans="1:21" ht="51">
      <c r="A886" s="6">
        <v>43440.467233796298</v>
      </c>
      <c r="B886" s="7" t="str">
        <f>HYPERLINK("https://twitter.com/24h_tve","@24h_tve")</f>
        <v>@24h_tve</v>
      </c>
      <c r="C886" s="8" t="s">
        <v>3737</v>
      </c>
      <c r="D886" s="9" t="s">
        <v>3738</v>
      </c>
      <c r="E886" s="10" t="str">
        <f>HYPERLINK("https://twitter.com/24h_tve/status/1070622078364135424","1070622078364135424")</f>
        <v>1070622078364135424</v>
      </c>
      <c r="F886" s="13" t="s">
        <v>3739</v>
      </c>
      <c r="G886" s="13" t="s">
        <v>3741</v>
      </c>
      <c r="H886" s="11"/>
      <c r="I886" s="14">
        <v>34</v>
      </c>
      <c r="J886" s="14">
        <v>48</v>
      </c>
      <c r="K886" s="15" t="str">
        <f>HYPERLINK("http://snappytv.com","SnappyTV.com")</f>
        <v>SnappyTV.com</v>
      </c>
      <c r="L886" s="14">
        <v>1297297</v>
      </c>
      <c r="M886" s="14">
        <v>715</v>
      </c>
      <c r="N886" s="14">
        <v>7942</v>
      </c>
      <c r="O886" s="19" t="s">
        <v>42</v>
      </c>
      <c r="P886" s="6">
        <v>39944.898831018516</v>
      </c>
      <c r="Q886" s="11"/>
      <c r="R886" s="17" t="s">
        <v>3743</v>
      </c>
      <c r="S886" s="13" t="s">
        <v>3739</v>
      </c>
      <c r="T886" s="11"/>
      <c r="U886" s="10" t="str">
        <f>HYPERLINK("https://pbs.twimg.com/profile_images/1053217770387791872/fYDDQc0x.jpg","View")</f>
        <v>View</v>
      </c>
    </row>
    <row r="887" spans="1:21" ht="30.6">
      <c r="A887" s="6">
        <v>43440.467222222222</v>
      </c>
      <c r="B887" s="7" t="str">
        <f>HYPERLINK("https://twitter.com/jorgesolerc","@jorgesolerc")</f>
        <v>@jorgesolerc</v>
      </c>
      <c r="C887" s="8" t="s">
        <v>3131</v>
      </c>
      <c r="D887" s="9" t="s">
        <v>3132</v>
      </c>
      <c r="E887" s="10" t="str">
        <f>HYPERLINK("https://twitter.com/jorgesolerc/status/1070622075457552384","1070622075457552384")</f>
        <v>1070622075457552384</v>
      </c>
      <c r="F887" s="11"/>
      <c r="G887" s="11"/>
      <c r="H887" s="11"/>
      <c r="I887" s="14">
        <v>0</v>
      </c>
      <c r="J887" s="14">
        <v>0</v>
      </c>
      <c r="K887" s="15" t="str">
        <f>HYPERLINK("http://twitter.com/download/android","Twitter for Android")</f>
        <v>Twitter for Android</v>
      </c>
      <c r="L887" s="14">
        <v>491</v>
      </c>
      <c r="M887" s="14">
        <v>917</v>
      </c>
      <c r="N887" s="14">
        <v>4</v>
      </c>
      <c r="O887" s="16"/>
      <c r="P887" s="6">
        <v>41342.924016203702</v>
      </c>
      <c r="Q887" s="12" t="s">
        <v>3133</v>
      </c>
      <c r="R887" s="17" t="s">
        <v>3134</v>
      </c>
      <c r="S887" s="11"/>
      <c r="T887" s="11"/>
      <c r="U887" s="10" t="str">
        <f>HYPERLINK("https://pbs.twimg.com/profile_images/994932513842892801/GoGjdcX5.jpg","View")</f>
        <v>View</v>
      </c>
    </row>
    <row r="888" spans="1:21" ht="51">
      <c r="A888" s="6">
        <v>43440.467152777783</v>
      </c>
      <c r="B888" s="7" t="str">
        <f>HYPERLINK("https://twitter.com/CarolinaDiazEsp","@CarolinaDiazEsp")</f>
        <v>@CarolinaDiazEsp</v>
      </c>
      <c r="C888" s="8" t="s">
        <v>3746</v>
      </c>
      <c r="D888" s="9" t="s">
        <v>3747</v>
      </c>
      <c r="E888" s="10" t="str">
        <f>HYPERLINK("https://twitter.com/CarolinaDiazEsp/status/1070622049993932800","1070622049993932800")</f>
        <v>1070622049993932800</v>
      </c>
      <c r="F888" s="11"/>
      <c r="G888" s="11"/>
      <c r="H888" s="11"/>
      <c r="I888" s="14">
        <v>4</v>
      </c>
      <c r="J888" s="14">
        <v>6</v>
      </c>
      <c r="K888" s="15" t="str">
        <f>HYPERLINK("http://twitter.com/download/iphone","Twitter for iPhone")</f>
        <v>Twitter for iPhone</v>
      </c>
      <c r="L888" s="14">
        <v>1355</v>
      </c>
      <c r="M888" s="14">
        <v>816</v>
      </c>
      <c r="N888" s="14">
        <v>98</v>
      </c>
      <c r="O888" s="16"/>
      <c r="P888" s="6">
        <v>40248.717083333337</v>
      </c>
      <c r="Q888" s="12" t="s">
        <v>3750</v>
      </c>
      <c r="R888" s="17" t="s">
        <v>3751</v>
      </c>
      <c r="S888" s="13" t="s">
        <v>3752</v>
      </c>
      <c r="T888" s="11"/>
      <c r="U888" s="10" t="str">
        <f>HYPERLINK("https://pbs.twimg.com/profile_images/378800000800978501/d11550a03092515b91d38baccd2c7006.jpeg","View")</f>
        <v>View</v>
      </c>
    </row>
    <row r="889" spans="1:21" ht="51">
      <c r="A889" s="6">
        <v>43440.467141203699</v>
      </c>
      <c r="B889" s="7" t="str">
        <f>HYPERLINK("https://twitter.com/NievesJemezB","@NievesJemezB")</f>
        <v>@NievesJemezB</v>
      </c>
      <c r="C889" s="8" t="s">
        <v>3754</v>
      </c>
      <c r="D889" s="9" t="s">
        <v>3755</v>
      </c>
      <c r="E889" s="10" t="str">
        <f>HYPERLINK("https://twitter.com/NievesJemezB/status/1070622044520353798","1070622044520353798")</f>
        <v>1070622044520353798</v>
      </c>
      <c r="F889" s="11"/>
      <c r="G889" s="11"/>
      <c r="H889" s="11"/>
      <c r="I889" s="14">
        <v>0</v>
      </c>
      <c r="J889" s="14">
        <v>0</v>
      </c>
      <c r="K889" s="15" t="str">
        <f>HYPERLINK("http://twitter.com","Twitter Web Client")</f>
        <v>Twitter Web Client</v>
      </c>
      <c r="L889" s="14">
        <v>1476</v>
      </c>
      <c r="M889" s="14">
        <v>1430</v>
      </c>
      <c r="N889" s="14">
        <v>40</v>
      </c>
      <c r="O889" s="16"/>
      <c r="P889" s="6">
        <v>41331.81621527778</v>
      </c>
      <c r="Q889" s="12" t="s">
        <v>3757</v>
      </c>
      <c r="R889" s="17" t="s">
        <v>3758</v>
      </c>
      <c r="S889" s="13" t="s">
        <v>3759</v>
      </c>
      <c r="T889" s="11"/>
      <c r="U889" s="10" t="str">
        <f>HYPERLINK("https://pbs.twimg.com/profile_images/991727206668931072/FYArZrk1.jpg","View")</f>
        <v>View</v>
      </c>
    </row>
    <row r="890" spans="1:21" ht="30.6">
      <c r="A890" s="6">
        <v>43440.466967592598</v>
      </c>
      <c r="B890" s="7" t="str">
        <f>HYPERLINK("https://twitter.com/_Juan__A","@_Juan__A")</f>
        <v>@_Juan__A</v>
      </c>
      <c r="C890" s="8" t="s">
        <v>3762</v>
      </c>
      <c r="D890" s="9" t="s">
        <v>3763</v>
      </c>
      <c r="E890" s="10" t="str">
        <f>HYPERLINK("https://twitter.com/_Juan__A/status/1070621983547777024","1070621983547777024")</f>
        <v>1070621983547777024</v>
      </c>
      <c r="F890" s="11"/>
      <c r="G890" s="13" t="s">
        <v>3764</v>
      </c>
      <c r="H890" s="11"/>
      <c r="I890" s="14">
        <v>2</v>
      </c>
      <c r="J890" s="14">
        <v>1</v>
      </c>
      <c r="K890" s="15" t="str">
        <f>HYPERLINK("http://twitter.com/download/android","Twitter for Android")</f>
        <v>Twitter for Android</v>
      </c>
      <c r="L890" s="14">
        <v>3957</v>
      </c>
      <c r="M890" s="14">
        <v>3892</v>
      </c>
      <c r="N890" s="14">
        <v>14</v>
      </c>
      <c r="O890" s="16"/>
      <c r="P890" s="6">
        <v>42359.794803240744</v>
      </c>
      <c r="Q890" s="11"/>
      <c r="R890" s="17" t="s">
        <v>3765</v>
      </c>
      <c r="S890" s="11"/>
      <c r="T890" s="11"/>
      <c r="U890" s="10" t="str">
        <f>HYPERLINK("https://pbs.twimg.com/profile_images/1030067801816530946/hR_kaHH1.jpg","View")</f>
        <v>View</v>
      </c>
    </row>
    <row r="891" spans="1:21" ht="51">
      <c r="A891" s="6">
        <v>43440.466516203705</v>
      </c>
      <c r="B891" s="7" t="str">
        <f>HYPERLINK("https://twitter.com/Rojillo2018","@Rojillo2018")</f>
        <v>@Rojillo2018</v>
      </c>
      <c r="C891" s="8" t="s">
        <v>3768</v>
      </c>
      <c r="D891" s="9" t="s">
        <v>3769</v>
      </c>
      <c r="E891" s="10" t="str">
        <f>HYPERLINK("https://twitter.com/Rojillo2018/status/1070621817671442433","1070621817671442433")</f>
        <v>1070621817671442433</v>
      </c>
      <c r="F891" s="11"/>
      <c r="G891" s="11"/>
      <c r="H891" s="11"/>
      <c r="I891" s="14">
        <v>1</v>
      </c>
      <c r="J891" s="14">
        <v>0</v>
      </c>
      <c r="K891" s="15" t="str">
        <f>HYPERLINK("https://mobile.twitter.com","Twitter Lite")</f>
        <v>Twitter Lite</v>
      </c>
      <c r="L891" s="14">
        <v>552</v>
      </c>
      <c r="M891" s="14">
        <v>1186</v>
      </c>
      <c r="N891" s="14">
        <v>1</v>
      </c>
      <c r="O891" s="16"/>
      <c r="P891" s="6">
        <v>43416.63175925926</v>
      </c>
      <c r="Q891" s="12" t="s">
        <v>3770</v>
      </c>
      <c r="R891" s="17" t="s">
        <v>3771</v>
      </c>
      <c r="S891" s="11"/>
      <c r="T891" s="11"/>
      <c r="U891" s="10" t="str">
        <f>HYPERLINK("https://pbs.twimg.com/profile_images/1070781070730297345/bY48p3t2.jpg","View")</f>
        <v>View</v>
      </c>
    </row>
    <row r="892" spans="1:21" ht="13.2">
      <c r="A892" s="6">
        <v>43440.466493055559</v>
      </c>
      <c r="B892" s="7" t="str">
        <f>HYPERLINK("https://twitter.com/Lia_Bengoechea","@Lia_Bengoechea")</f>
        <v>@Lia_Bengoechea</v>
      </c>
      <c r="C892" s="8" t="s">
        <v>3773</v>
      </c>
      <c r="D892" s="9" t="s">
        <v>3774</v>
      </c>
      <c r="E892" s="10" t="str">
        <f>HYPERLINK("https://twitter.com/Lia_Bengoechea/status/1070621808964067328","1070621808964067328")</f>
        <v>1070621808964067328</v>
      </c>
      <c r="F892" s="11"/>
      <c r="G892" s="11"/>
      <c r="H892" s="11"/>
      <c r="I892" s="14">
        <v>0</v>
      </c>
      <c r="J892" s="14">
        <v>0</v>
      </c>
      <c r="K892" s="15" t="str">
        <f>HYPERLINK("http://twitter.com/download/android","Twitter for Android")</f>
        <v>Twitter for Android</v>
      </c>
      <c r="L892" s="14">
        <v>731</v>
      </c>
      <c r="M892" s="14">
        <v>504</v>
      </c>
      <c r="N892" s="14">
        <v>37</v>
      </c>
      <c r="O892" s="16"/>
      <c r="P892" s="6">
        <v>42046.829988425925</v>
      </c>
      <c r="Q892" s="11"/>
      <c r="R892" s="17" t="s">
        <v>3775</v>
      </c>
      <c r="S892" s="11"/>
      <c r="T892" s="11"/>
      <c r="U892" s="10" t="str">
        <f>HYPERLINK("https://pbs.twimg.com/profile_images/1039443932281823232/KPLtj1Ma.jpg","View")</f>
        <v>View</v>
      </c>
    </row>
    <row r="893" spans="1:21" ht="61.2">
      <c r="A893" s="6">
        <v>43440.466446759259</v>
      </c>
      <c r="B893" s="7" t="str">
        <f>HYPERLINK("https://twitter.com/joseajarne","@joseajarne")</f>
        <v>@joseajarne</v>
      </c>
      <c r="C893" s="8" t="s">
        <v>3136</v>
      </c>
      <c r="D893" s="9" t="s">
        <v>3137</v>
      </c>
      <c r="E893" s="10" t="str">
        <f>HYPERLINK("https://twitter.com/joseajarne/status/1070621794955079681","1070621794955079681")</f>
        <v>1070621794955079681</v>
      </c>
      <c r="F893" s="11"/>
      <c r="G893" s="13" t="s">
        <v>3140</v>
      </c>
      <c r="H893" s="11"/>
      <c r="I893" s="14">
        <v>0</v>
      </c>
      <c r="J893" s="14">
        <v>0</v>
      </c>
      <c r="K893" s="15" t="str">
        <f>HYPERLINK("http://twitter.com/download/iphone","Twitter for iPhone")</f>
        <v>Twitter for iPhone</v>
      </c>
      <c r="L893" s="14">
        <v>3628</v>
      </c>
      <c r="M893" s="14">
        <v>4996</v>
      </c>
      <c r="N893" s="14">
        <v>364</v>
      </c>
      <c r="O893" s="16"/>
      <c r="P893" s="6">
        <v>40573.710439814815</v>
      </c>
      <c r="Q893" s="12" t="s">
        <v>3143</v>
      </c>
      <c r="R893" s="17" t="s">
        <v>3144</v>
      </c>
      <c r="S893" s="13" t="s">
        <v>3145</v>
      </c>
      <c r="T893" s="11"/>
      <c r="U893" s="10" t="str">
        <f>HYPERLINK("https://pbs.twimg.com/profile_images/865696922291630081/XzJF8NqR.jpg","View")</f>
        <v>View</v>
      </c>
    </row>
    <row r="894" spans="1:21" ht="51">
      <c r="A894" s="6">
        <v>43440.465914351851</v>
      </c>
      <c r="B894" s="7" t="str">
        <f>HYPERLINK("https://twitter.com/24h_tve","@24h_tve")</f>
        <v>@24h_tve</v>
      </c>
      <c r="C894" s="8" t="s">
        <v>3737</v>
      </c>
      <c r="D894" s="9" t="s">
        <v>3777</v>
      </c>
      <c r="E894" s="10" t="str">
        <f>HYPERLINK("https://twitter.com/24h_tve/status/1070621601165586433","1070621601165586433")</f>
        <v>1070621601165586433</v>
      </c>
      <c r="F894" s="13" t="s">
        <v>3739</v>
      </c>
      <c r="G894" s="13" t="s">
        <v>3779</v>
      </c>
      <c r="H894" s="11"/>
      <c r="I894" s="14">
        <v>0</v>
      </c>
      <c r="J894" s="14">
        <v>8</v>
      </c>
      <c r="K894" s="15" t="str">
        <f>HYPERLINK("http://snappytv.com","SnappyTV.com")</f>
        <v>SnappyTV.com</v>
      </c>
      <c r="L894" s="14">
        <v>1297297</v>
      </c>
      <c r="M894" s="14">
        <v>715</v>
      </c>
      <c r="N894" s="14">
        <v>7942</v>
      </c>
      <c r="O894" s="19" t="s">
        <v>42</v>
      </c>
      <c r="P894" s="6">
        <v>39944.898831018516</v>
      </c>
      <c r="Q894" s="11"/>
      <c r="R894" s="17" t="s">
        <v>3743</v>
      </c>
      <c r="S894" s="13" t="s">
        <v>3739</v>
      </c>
      <c r="T894" s="11"/>
      <c r="U894" s="10" t="str">
        <f>HYPERLINK("https://pbs.twimg.com/profile_images/1053217770387791872/fYDDQc0x.jpg","View")</f>
        <v>View</v>
      </c>
    </row>
    <row r="895" spans="1:21" ht="51">
      <c r="A895" s="6">
        <v>43440.465891203705</v>
      </c>
      <c r="B895" s="7" t="str">
        <f>HYPERLINK("https://twitter.com/Tu_alta_voz","@Tu_alta_voz")</f>
        <v>@Tu_alta_voz</v>
      </c>
      <c r="C895" s="8" t="s">
        <v>3147</v>
      </c>
      <c r="D895" s="9" t="s">
        <v>3148</v>
      </c>
      <c r="E895" s="10" t="str">
        <f>HYPERLINK("https://twitter.com/Tu_alta_voz/status/1070621591044845568","1070621591044845568")</f>
        <v>1070621591044845568</v>
      </c>
      <c r="F895" s="11"/>
      <c r="G895" s="11"/>
      <c r="H895" s="11"/>
      <c r="I895" s="14">
        <v>0</v>
      </c>
      <c r="J895" s="14">
        <v>0</v>
      </c>
      <c r="K895" s="15" t="str">
        <f>HYPERLINK("http://twitter.com","Twitter Web Client")</f>
        <v>Twitter Web Client</v>
      </c>
      <c r="L895" s="14">
        <v>20</v>
      </c>
      <c r="M895" s="14">
        <v>54</v>
      </c>
      <c r="N895" s="14">
        <v>0</v>
      </c>
      <c r="O895" s="16"/>
      <c r="P895" s="6">
        <v>42020.462164351848</v>
      </c>
      <c r="Q895" s="12" t="s">
        <v>3152</v>
      </c>
      <c r="R895" s="18"/>
      <c r="S895" s="11"/>
      <c r="T895" s="11"/>
      <c r="U895" s="10" t="str">
        <f>HYPERLINK("https://pbs.twimg.com/profile_images/575730650319228929/2Nny-iHb.jpeg","View")</f>
        <v>View</v>
      </c>
    </row>
    <row r="896" spans="1:21" ht="61.2">
      <c r="A896" s="6">
        <v>43440.465868055559</v>
      </c>
      <c r="B896" s="7" t="str">
        <f>HYPERLINK("https://twitter.com/GBCLopi","@GBCLopi")</f>
        <v>@GBCLopi</v>
      </c>
      <c r="C896" s="8" t="s">
        <v>3697</v>
      </c>
      <c r="D896" s="9" t="s">
        <v>3783</v>
      </c>
      <c r="E896" s="10" t="str">
        <f>HYPERLINK("https://twitter.com/GBCLopi/status/1070621586154274817","1070621586154274817")</f>
        <v>1070621586154274817</v>
      </c>
      <c r="F896" s="11"/>
      <c r="G896" s="11"/>
      <c r="H896" s="11"/>
      <c r="I896" s="14">
        <v>3</v>
      </c>
      <c r="J896" s="14">
        <v>2</v>
      </c>
      <c r="K896" s="15" t="str">
        <f t="shared" ref="K896:K898" si="167">HYPERLINK("http://twitter.com/download/android","Twitter for Android")</f>
        <v>Twitter for Android</v>
      </c>
      <c r="L896" s="14">
        <v>308</v>
      </c>
      <c r="M896" s="14">
        <v>265</v>
      </c>
      <c r="N896" s="14">
        <v>9</v>
      </c>
      <c r="O896" s="16"/>
      <c r="P896" s="6">
        <v>40572.538761574076</v>
      </c>
      <c r="Q896" s="12" t="s">
        <v>3699</v>
      </c>
      <c r="R896" s="17" t="s">
        <v>3700</v>
      </c>
      <c r="S896" s="11"/>
      <c r="T896" s="11"/>
      <c r="U896" s="10" t="str">
        <f>HYPERLINK("https://pbs.twimg.com/profile_images/378800000553609082/7a07f85e9e59c55f89ea1b801b061508.jpeg","View")</f>
        <v>View</v>
      </c>
    </row>
    <row r="897" spans="1:21" ht="40.799999999999997">
      <c r="A897" s="6">
        <v>43440.465497685189</v>
      </c>
      <c r="B897" s="7" t="str">
        <f>HYPERLINK("https://twitter.com/jlcatm","@jlcatm")</f>
        <v>@jlcatm</v>
      </c>
      <c r="C897" s="8" t="s">
        <v>3786</v>
      </c>
      <c r="D897" s="9" t="s">
        <v>3787</v>
      </c>
      <c r="E897" s="10" t="str">
        <f>HYPERLINK("https://twitter.com/jlcatm/status/1070621451265429504","1070621451265429504")</f>
        <v>1070621451265429504</v>
      </c>
      <c r="F897" s="11"/>
      <c r="G897" s="11"/>
      <c r="H897" s="11"/>
      <c r="I897" s="14">
        <v>0</v>
      </c>
      <c r="J897" s="14">
        <v>1</v>
      </c>
      <c r="K897" s="15" t="str">
        <f t="shared" si="167"/>
        <v>Twitter for Android</v>
      </c>
      <c r="L897" s="14">
        <v>174</v>
      </c>
      <c r="M897" s="14">
        <v>667</v>
      </c>
      <c r="N897" s="14">
        <v>1</v>
      </c>
      <c r="O897" s="16"/>
      <c r="P897" s="6">
        <v>41049.576284722221</v>
      </c>
      <c r="Q897" s="11"/>
      <c r="R897" s="17" t="s">
        <v>3788</v>
      </c>
      <c r="S897" s="11"/>
      <c r="T897" s="11"/>
      <c r="U897" s="10" t="str">
        <f>HYPERLINK("https://pbs.twimg.com/profile_images/1048248822902796288/thccLMhf.jpg","View")</f>
        <v>View</v>
      </c>
    </row>
    <row r="898" spans="1:21" ht="51">
      <c r="A898" s="6">
        <v>43440.465462962966</v>
      </c>
      <c r="B898" s="7" t="str">
        <f>HYPERLINK("https://twitter.com/Bici_Solidaria","@Bici_Solidaria")</f>
        <v>@Bici_Solidaria</v>
      </c>
      <c r="C898" s="8" t="s">
        <v>3153</v>
      </c>
      <c r="D898" s="9" t="s">
        <v>3154</v>
      </c>
      <c r="E898" s="10" t="str">
        <f>HYPERLINK("https://twitter.com/Bici_Solidaria/status/1070621437772341248","1070621437772341248")</f>
        <v>1070621437772341248</v>
      </c>
      <c r="F898" s="11"/>
      <c r="G898" s="13" t="s">
        <v>3155</v>
      </c>
      <c r="H898" s="11"/>
      <c r="I898" s="14">
        <v>0</v>
      </c>
      <c r="J898" s="14">
        <v>3</v>
      </c>
      <c r="K898" s="15" t="str">
        <f t="shared" si="167"/>
        <v>Twitter for Android</v>
      </c>
      <c r="L898" s="14">
        <v>5180</v>
      </c>
      <c r="M898" s="14">
        <v>5480</v>
      </c>
      <c r="N898" s="14">
        <v>159</v>
      </c>
      <c r="O898" s="16"/>
      <c r="P898" s="6">
        <v>41208.490763888891</v>
      </c>
      <c r="Q898" s="12" t="s">
        <v>137</v>
      </c>
      <c r="R898" s="17" t="s">
        <v>3156</v>
      </c>
      <c r="S898" s="13" t="s">
        <v>3157</v>
      </c>
      <c r="T898" s="11"/>
      <c r="U898" s="10" t="str">
        <f>HYPERLINK("https://pbs.twimg.com/profile_images/915253707171868679/26hL1rw4.jpg","View")</f>
        <v>View</v>
      </c>
    </row>
    <row r="899" spans="1:21" ht="40.799999999999997">
      <c r="A899" s="6">
        <v>43440.465347222227</v>
      </c>
      <c r="B899" s="7" t="str">
        <f>HYPERLINK("https://twitter.com/rrodriguezmaeso","@rrodriguezmaeso")</f>
        <v>@rrodriguezmaeso</v>
      </c>
      <c r="C899" s="8" t="s">
        <v>3158</v>
      </c>
      <c r="D899" s="9" t="s">
        <v>3159</v>
      </c>
      <c r="E899" s="10" t="str">
        <f>HYPERLINK("https://twitter.com/rrodriguezmaeso/status/1070621395292483584","1070621395292483584")</f>
        <v>1070621395292483584</v>
      </c>
      <c r="F899" s="11"/>
      <c r="G899" s="11"/>
      <c r="H899" s="11"/>
      <c r="I899" s="14">
        <v>4</v>
      </c>
      <c r="J899" s="14">
        <v>14</v>
      </c>
      <c r="K899" s="15" t="str">
        <f>HYPERLINK("http://twitter.com","Twitter Web Client")</f>
        <v>Twitter Web Client</v>
      </c>
      <c r="L899" s="14">
        <v>901</v>
      </c>
      <c r="M899" s="14">
        <v>392</v>
      </c>
      <c r="N899" s="14">
        <v>34</v>
      </c>
      <c r="O899" s="16"/>
      <c r="P899" s="6">
        <v>40626.027349537035</v>
      </c>
      <c r="Q899" s="12" t="s">
        <v>137</v>
      </c>
      <c r="R899" s="17" t="s">
        <v>3161</v>
      </c>
      <c r="S899" s="11"/>
      <c r="T899" s="11"/>
      <c r="U899" s="10" t="str">
        <f>HYPERLINK("https://pbs.twimg.com/profile_images/752133495502303232/YfXQM-UK.jpg","View")</f>
        <v>View</v>
      </c>
    </row>
    <row r="900" spans="1:21" ht="40.799999999999997">
      <c r="A900" s="6">
        <v>43440.465092592596</v>
      </c>
      <c r="B900" s="7" t="str">
        <f>HYPERLINK("https://twitter.com/andreescord","@andreescord")</f>
        <v>@andreescord</v>
      </c>
      <c r="C900" s="8" t="s">
        <v>3791</v>
      </c>
      <c r="D900" s="9" t="s">
        <v>3792</v>
      </c>
      <c r="E900" s="10" t="str">
        <f>HYPERLINK("https://twitter.com/andreescord/status/1070621302350843904","1070621302350843904")</f>
        <v>1070621302350843904</v>
      </c>
      <c r="F900" s="11"/>
      <c r="G900" s="11"/>
      <c r="H900" s="11"/>
      <c r="I900" s="14">
        <v>0</v>
      </c>
      <c r="J900" s="14">
        <v>0</v>
      </c>
      <c r="K900" s="15" t="str">
        <f t="shared" ref="K900:K901" si="168">HYPERLINK("http://twitter.com/download/android","Twitter for Android")</f>
        <v>Twitter for Android</v>
      </c>
      <c r="L900" s="14">
        <v>263</v>
      </c>
      <c r="M900" s="14">
        <v>236</v>
      </c>
      <c r="N900" s="14">
        <v>6</v>
      </c>
      <c r="O900" s="16"/>
      <c r="P900" s="6">
        <v>41351.905370370368</v>
      </c>
      <c r="Q900" s="12" t="s">
        <v>3795</v>
      </c>
      <c r="R900" s="17" t="s">
        <v>3796</v>
      </c>
      <c r="S900" s="13" t="s">
        <v>3797</v>
      </c>
      <c r="T900" s="11"/>
      <c r="U900" s="10" t="str">
        <f>HYPERLINK("https://pbs.twimg.com/profile_images/1070231251615997953/kDGYSHSc.jpg","View")</f>
        <v>View</v>
      </c>
    </row>
    <row r="901" spans="1:21" ht="40.799999999999997">
      <c r="A901" s="6">
        <v>43440.465046296296</v>
      </c>
      <c r="B901" s="7" t="str">
        <f>HYPERLINK("https://twitter.com/recugaal","@recugaal")</f>
        <v>@recugaal</v>
      </c>
      <c r="C901" s="8" t="s">
        <v>3164</v>
      </c>
      <c r="D901" s="9" t="s">
        <v>3165</v>
      </c>
      <c r="E901" s="10" t="str">
        <f>HYPERLINK("https://twitter.com/recugaal/status/1070621288388026368","1070621288388026368")</f>
        <v>1070621288388026368</v>
      </c>
      <c r="F901" s="11"/>
      <c r="G901" s="13" t="s">
        <v>3166</v>
      </c>
      <c r="H901" s="11"/>
      <c r="I901" s="14">
        <v>0</v>
      </c>
      <c r="J901" s="14">
        <v>0</v>
      </c>
      <c r="K901" s="15" t="str">
        <f t="shared" si="168"/>
        <v>Twitter for Android</v>
      </c>
      <c r="L901" s="14">
        <v>98</v>
      </c>
      <c r="M901" s="14">
        <v>640</v>
      </c>
      <c r="N901" s="14">
        <v>1</v>
      </c>
      <c r="O901" s="16"/>
      <c r="P901" s="6">
        <v>42068.964247685188</v>
      </c>
      <c r="Q901" s="12" t="s">
        <v>3167</v>
      </c>
      <c r="R901" s="17" t="s">
        <v>3168</v>
      </c>
      <c r="S901" s="13" t="s">
        <v>3169</v>
      </c>
      <c r="T901" s="11"/>
      <c r="U901" s="10" t="str">
        <f>HYPERLINK("https://pbs.twimg.com/profile_images/1036949971889737728/5L51NvdD.jpg","View")</f>
        <v>View</v>
      </c>
    </row>
    <row r="902" spans="1:21" ht="40.799999999999997">
      <c r="A902" s="6">
        <v>43440.464641203704</v>
      </c>
      <c r="B902" s="7" t="str">
        <f>HYPERLINK("https://twitter.com/mariano_alonsof","@mariano_alonsof")</f>
        <v>@mariano_alonsof</v>
      </c>
      <c r="C902" s="8" t="s">
        <v>3800</v>
      </c>
      <c r="D902" s="9" t="s">
        <v>3801</v>
      </c>
      <c r="E902" s="10" t="str">
        <f>HYPERLINK("https://twitter.com/mariano_alonsof/status/1070621139116924928","1070621139116924928")</f>
        <v>1070621139116924928</v>
      </c>
      <c r="F902" s="11"/>
      <c r="G902" s="13" t="s">
        <v>3802</v>
      </c>
      <c r="H902" s="11"/>
      <c r="I902" s="14">
        <v>6</v>
      </c>
      <c r="J902" s="14">
        <v>11</v>
      </c>
      <c r="K902" s="15" t="str">
        <f t="shared" ref="K902:K904" si="169">HYPERLINK("http://twitter.com/download/iphone","Twitter for iPhone")</f>
        <v>Twitter for iPhone</v>
      </c>
      <c r="L902" s="14">
        <v>8189</v>
      </c>
      <c r="M902" s="14">
        <v>4669</v>
      </c>
      <c r="N902" s="14">
        <v>203</v>
      </c>
      <c r="O902" s="16"/>
      <c r="P902" s="6">
        <v>40645.553298611107</v>
      </c>
      <c r="Q902" s="12" t="s">
        <v>3804</v>
      </c>
      <c r="R902" s="17" t="s">
        <v>3806</v>
      </c>
      <c r="S902" s="11"/>
      <c r="T902" s="11"/>
      <c r="U902" s="10" t="str">
        <f>HYPERLINK("https://pbs.twimg.com/profile_images/1068820104505409536/JYT3Ysnd.jpg","View")</f>
        <v>View</v>
      </c>
    </row>
    <row r="903" spans="1:21" ht="40.799999999999997">
      <c r="A903" s="6">
        <v>43440.463877314818</v>
      </c>
      <c r="B903" s="7" t="str">
        <f>HYPERLINK("https://twitter.com/mariaquilezv","@mariaquilezv")</f>
        <v>@mariaquilezv</v>
      </c>
      <c r="C903" s="8" t="s">
        <v>3170</v>
      </c>
      <c r="D903" s="9" t="s">
        <v>3808</v>
      </c>
      <c r="E903" s="10" t="str">
        <f>HYPERLINK("https://twitter.com/mariaquilezv/status/1070620861537882112","1070620861537882112")</f>
        <v>1070620861537882112</v>
      </c>
      <c r="F903" s="13" t="s">
        <v>3809</v>
      </c>
      <c r="G903" s="11"/>
      <c r="H903" s="11"/>
      <c r="I903" s="14">
        <v>4</v>
      </c>
      <c r="J903" s="14">
        <v>8</v>
      </c>
      <c r="K903" s="15" t="str">
        <f t="shared" si="169"/>
        <v>Twitter for iPhone</v>
      </c>
      <c r="L903" s="14">
        <v>2590</v>
      </c>
      <c r="M903" s="14">
        <v>855</v>
      </c>
      <c r="N903" s="14">
        <v>23</v>
      </c>
      <c r="O903" s="16"/>
      <c r="P903" s="6">
        <v>41183.603726851856</v>
      </c>
      <c r="Q903" s="12" t="s">
        <v>35</v>
      </c>
      <c r="R903" s="17" t="s">
        <v>3172</v>
      </c>
      <c r="S903" s="13" t="s">
        <v>3173</v>
      </c>
      <c r="T903" s="11"/>
      <c r="U903" s="10" t="str">
        <f>HYPERLINK("https://pbs.twimg.com/profile_images/1070040363107258374/fSqyQDH7.jpg","View")</f>
        <v>View</v>
      </c>
    </row>
    <row r="904" spans="1:21" ht="20.399999999999999">
      <c r="A904" s="6">
        <v>43440.463564814811</v>
      </c>
      <c r="B904" s="7" t="str">
        <f>HYPERLINK("https://twitter.com/inigoaduriz","@inigoaduriz")</f>
        <v>@inigoaduriz</v>
      </c>
      <c r="C904" s="8" t="s">
        <v>3174</v>
      </c>
      <c r="D904" s="9" t="s">
        <v>3175</v>
      </c>
      <c r="E904" s="10" t="str">
        <f>HYPERLINK("https://twitter.com/inigoaduriz/status/1070620748065189889","1070620748065189889")</f>
        <v>1070620748065189889</v>
      </c>
      <c r="F904" s="11"/>
      <c r="G904" s="13" t="s">
        <v>3176</v>
      </c>
      <c r="H904" s="11"/>
      <c r="I904" s="14">
        <v>0</v>
      </c>
      <c r="J904" s="14">
        <v>0</v>
      </c>
      <c r="K904" s="15" t="str">
        <f t="shared" si="169"/>
        <v>Twitter for iPhone</v>
      </c>
      <c r="L904" s="14">
        <v>4247</v>
      </c>
      <c r="M904" s="14">
        <v>2869</v>
      </c>
      <c r="N904" s="14">
        <v>143</v>
      </c>
      <c r="O904" s="16"/>
      <c r="P904" s="6">
        <v>40581.77579861111</v>
      </c>
      <c r="Q904" s="12" t="s">
        <v>3177</v>
      </c>
      <c r="R904" s="17" t="s">
        <v>3178</v>
      </c>
      <c r="S904" s="13" t="s">
        <v>3179</v>
      </c>
      <c r="T904" s="11"/>
      <c r="U904" s="10" t="str">
        <f>HYPERLINK("https://pbs.twimg.com/profile_images/1005444474334523392/pE-FQa0L.jpg","View")</f>
        <v>View</v>
      </c>
    </row>
    <row r="905" spans="1:21" ht="40.799999999999997">
      <c r="A905" s="6">
        <v>43440.463020833333</v>
      </c>
      <c r="B905" s="7" t="str">
        <f>HYPERLINK("https://twitter.com/gemmabe7","@gemmabe7")</f>
        <v>@gemmabe7</v>
      </c>
      <c r="C905" s="8" t="s">
        <v>3817</v>
      </c>
      <c r="D905" s="9" t="s">
        <v>3818</v>
      </c>
      <c r="E905" s="10" t="str">
        <f>HYPERLINK("https://twitter.com/gemmabe7/status/1070620553235582976","1070620553235582976")</f>
        <v>1070620553235582976</v>
      </c>
      <c r="F905" s="12" t="s">
        <v>3821</v>
      </c>
      <c r="G905" s="13" t="s">
        <v>3822</v>
      </c>
      <c r="H905" s="11"/>
      <c r="I905" s="14">
        <v>2</v>
      </c>
      <c r="J905" s="14">
        <v>13</v>
      </c>
      <c r="K905" s="15" t="str">
        <f t="shared" ref="K905:K906" si="170">HYPERLINK("http://twitter.com/download/android","Twitter for Android")</f>
        <v>Twitter for Android</v>
      </c>
      <c r="L905" s="14">
        <v>5785</v>
      </c>
      <c r="M905" s="14">
        <v>993</v>
      </c>
      <c r="N905" s="14">
        <v>60</v>
      </c>
      <c r="O905" s="16"/>
      <c r="P905" s="6">
        <v>41162.736215277779</v>
      </c>
      <c r="Q905" s="12" t="s">
        <v>1370</v>
      </c>
      <c r="R905" s="18"/>
      <c r="S905" s="11"/>
      <c r="T905" s="11"/>
      <c r="U905" s="10" t="str">
        <f>HYPERLINK("https://pbs.twimg.com/profile_images/970353379028488192/EvqUr0XT.jpg","View")</f>
        <v>View</v>
      </c>
    </row>
    <row r="906" spans="1:21" ht="51">
      <c r="A906" s="6">
        <v>43440.461828703701</v>
      </c>
      <c r="B906" s="7" t="str">
        <f>HYPERLINK("https://twitter.com/CsCanarias","@CsCanarias")</f>
        <v>@CsCanarias</v>
      </c>
      <c r="C906" s="8" t="s">
        <v>3180</v>
      </c>
      <c r="D906" s="9" t="s">
        <v>3181</v>
      </c>
      <c r="E906" s="10" t="str">
        <f>HYPERLINK("https://twitter.com/CsCanarias/status/1070620119020290049","1070620119020290049")</f>
        <v>1070620119020290049</v>
      </c>
      <c r="F906" s="11"/>
      <c r="G906" s="13" t="s">
        <v>3182</v>
      </c>
      <c r="H906" s="11"/>
      <c r="I906" s="14">
        <v>10</v>
      </c>
      <c r="J906" s="14">
        <v>18</v>
      </c>
      <c r="K906" s="15" t="str">
        <f t="shared" si="170"/>
        <v>Twitter for Android</v>
      </c>
      <c r="L906" s="14">
        <v>6039</v>
      </c>
      <c r="M906" s="14">
        <v>1915</v>
      </c>
      <c r="N906" s="14">
        <v>127</v>
      </c>
      <c r="O906" s="19" t="s">
        <v>42</v>
      </c>
      <c r="P906" s="6">
        <v>41717.69872685185</v>
      </c>
      <c r="Q906" s="12" t="s">
        <v>3183</v>
      </c>
      <c r="R906" s="17" t="s">
        <v>3184</v>
      </c>
      <c r="S906" s="13" t="s">
        <v>3185</v>
      </c>
      <c r="T906" s="11"/>
      <c r="U906" s="10" t="str">
        <f>HYPERLINK("https://pbs.twimg.com/profile_images/1053380947650007041/1GQgoCCJ.png","View")</f>
        <v>View</v>
      </c>
    </row>
    <row r="907" spans="1:21" ht="30.6">
      <c r="A907" s="6">
        <v>43440.461701388893</v>
      </c>
      <c r="B907" s="7" t="str">
        <f>HYPERLINK("https://twitter.com/Abejorro69","@Abejorro69")</f>
        <v>@Abejorro69</v>
      </c>
      <c r="C907" s="8" t="s">
        <v>3825</v>
      </c>
      <c r="D907" s="9" t="s">
        <v>3826</v>
      </c>
      <c r="E907" s="10" t="str">
        <f>HYPERLINK("https://twitter.com/Abejorro69/status/1070620075508592640","1070620075508592640")</f>
        <v>1070620075508592640</v>
      </c>
      <c r="F907" s="11"/>
      <c r="G907" s="11"/>
      <c r="H907" s="11"/>
      <c r="I907" s="14">
        <v>2</v>
      </c>
      <c r="J907" s="14">
        <v>1</v>
      </c>
      <c r="K907" s="15" t="str">
        <f t="shared" ref="K907:K909" si="171">HYPERLINK("http://twitter.com/download/iphone","Twitter for iPhone")</f>
        <v>Twitter for iPhone</v>
      </c>
      <c r="L907" s="14">
        <v>5056</v>
      </c>
      <c r="M907" s="14">
        <v>3657</v>
      </c>
      <c r="N907" s="14">
        <v>51</v>
      </c>
      <c r="O907" s="16"/>
      <c r="P907" s="6">
        <v>40208.748437499999</v>
      </c>
      <c r="Q907" s="12" t="s">
        <v>3827</v>
      </c>
      <c r="R907" s="17" t="s">
        <v>3828</v>
      </c>
      <c r="S907" s="11"/>
      <c r="T907" s="11"/>
      <c r="U907" s="10" t="str">
        <f>HYPERLINK("https://pbs.twimg.com/profile_images/994603644766031872/5ckiAlY2.jpg","View")</f>
        <v>View</v>
      </c>
    </row>
    <row r="908" spans="1:21" ht="20.399999999999999">
      <c r="A908" s="6">
        <v>43440.461319444439</v>
      </c>
      <c r="B908" s="7" t="str">
        <f>HYPERLINK("https://twitter.com/CsVilassardemar","@CsVilassardemar")</f>
        <v>@CsVilassardemar</v>
      </c>
      <c r="C908" s="8" t="s">
        <v>3186</v>
      </c>
      <c r="D908" s="9" t="s">
        <v>3187</v>
      </c>
      <c r="E908" s="10" t="str">
        <f>HYPERLINK("https://twitter.com/CsVilassardemar/status/1070619937763405824","1070619937763405824")</f>
        <v>1070619937763405824</v>
      </c>
      <c r="F908" s="11"/>
      <c r="G908" s="13" t="s">
        <v>3188</v>
      </c>
      <c r="H908" s="11"/>
      <c r="I908" s="14">
        <v>0</v>
      </c>
      <c r="J908" s="14">
        <v>3</v>
      </c>
      <c r="K908" s="15" t="str">
        <f t="shared" si="171"/>
        <v>Twitter for iPhone</v>
      </c>
      <c r="L908" s="14">
        <v>325</v>
      </c>
      <c r="M908" s="14">
        <v>177</v>
      </c>
      <c r="N908" s="14">
        <v>11</v>
      </c>
      <c r="O908" s="16"/>
      <c r="P908" s="6">
        <v>42082.72619212963</v>
      </c>
      <c r="Q908" s="11"/>
      <c r="R908" s="18"/>
      <c r="S908" s="11"/>
      <c r="T908" s="11"/>
      <c r="U908" s="10" t="str">
        <f>HYPERLINK("https://pbs.twimg.com/profile_images/906505905218490369/UqluM8QQ.jpg","View")</f>
        <v>View</v>
      </c>
    </row>
    <row r="909" spans="1:21" ht="51">
      <c r="A909" s="6">
        <v>43440.461018518516</v>
      </c>
      <c r="B909" s="7" t="str">
        <f>HYPERLINK("https://twitter.com/Albert_Rivera","@Albert_Rivera")</f>
        <v>@Albert_Rivera</v>
      </c>
      <c r="C909" s="8" t="s">
        <v>443</v>
      </c>
      <c r="D909" s="9" t="s">
        <v>3833</v>
      </c>
      <c r="E909" s="10" t="str">
        <f>HYPERLINK("https://twitter.com/Albert_Rivera/status/1070619826392064000","1070619826392064000")</f>
        <v>1070619826392064000</v>
      </c>
      <c r="F909" s="11"/>
      <c r="G909" s="13" t="s">
        <v>2950</v>
      </c>
      <c r="H909" s="11"/>
      <c r="I909" s="14">
        <v>1361</v>
      </c>
      <c r="J909" s="14">
        <v>3281</v>
      </c>
      <c r="K909" s="15" t="str">
        <f t="shared" si="171"/>
        <v>Twitter for iPhone</v>
      </c>
      <c r="L909" s="14">
        <v>1075808</v>
      </c>
      <c r="M909" s="14">
        <v>2547</v>
      </c>
      <c r="N909" s="14">
        <v>5114</v>
      </c>
      <c r="O909" s="19" t="s">
        <v>42</v>
      </c>
      <c r="P909" s="6">
        <v>40205.748171296298</v>
      </c>
      <c r="Q909" s="12" t="s">
        <v>137</v>
      </c>
      <c r="R909" s="17" t="s">
        <v>450</v>
      </c>
      <c r="S909" s="13" t="s">
        <v>452</v>
      </c>
      <c r="T909" s="11"/>
      <c r="U909" s="10" t="str">
        <f>HYPERLINK("https://pbs.twimg.com/profile_images/1030708936779988993/RncDM4EZ.jpg","View")</f>
        <v>View</v>
      </c>
    </row>
    <row r="910" spans="1:21" ht="30.6">
      <c r="A910" s="6">
        <v>43440.460474537038</v>
      </c>
      <c r="B910" s="7" t="str">
        <f>HYPERLINK("https://twitter.com/r_corderas","@r_corderas")</f>
        <v>@r_corderas</v>
      </c>
      <c r="C910" s="8" t="s">
        <v>3835</v>
      </c>
      <c r="D910" s="9" t="s">
        <v>3836</v>
      </c>
      <c r="E910" s="10" t="str">
        <f>HYPERLINK("https://twitter.com/r_corderas/status/1070619630245425152","1070619630245425152")</f>
        <v>1070619630245425152</v>
      </c>
      <c r="F910" s="13" t="s">
        <v>3837</v>
      </c>
      <c r="G910" s="11"/>
      <c r="H910" s="11"/>
      <c r="I910" s="14">
        <v>0</v>
      </c>
      <c r="J910" s="14">
        <v>0</v>
      </c>
      <c r="K910" s="15" t="str">
        <f>HYPERLINK("http://twitter.com/download/android","Twitter for Android")</f>
        <v>Twitter for Android</v>
      </c>
      <c r="L910" s="14">
        <v>87</v>
      </c>
      <c r="M910" s="14">
        <v>350</v>
      </c>
      <c r="N910" s="14">
        <v>1</v>
      </c>
      <c r="O910" s="16"/>
      <c r="P910" s="6">
        <v>41417.993530092594</v>
      </c>
      <c r="Q910" s="12" t="s">
        <v>3839</v>
      </c>
      <c r="R910" s="17" t="s">
        <v>3840</v>
      </c>
      <c r="S910" s="11"/>
      <c r="T910" s="11"/>
      <c r="U910" s="10" t="str">
        <f>HYPERLINK("https://pbs.twimg.com/profile_images/932553779211272192/YAPKitdL.jpg","View")</f>
        <v>View</v>
      </c>
    </row>
    <row r="911" spans="1:21" ht="51">
      <c r="A911" s="6">
        <v>43440.459722222222</v>
      </c>
      <c r="B911" s="7" t="str">
        <f t="shared" ref="B911:B912" si="172">HYPERLINK("https://twitter.com/bitMomentum","@bitMomentum")</f>
        <v>@bitMomentum</v>
      </c>
      <c r="C911" s="8" t="s">
        <v>1889</v>
      </c>
      <c r="D911" s="9" t="s">
        <v>3191</v>
      </c>
      <c r="E911" s="10" t="str">
        <f>HYPERLINK("https://twitter.com/bitMomentum/status/1070619355585626112","1070619355585626112")</f>
        <v>1070619355585626112</v>
      </c>
      <c r="F911" s="11"/>
      <c r="G911" s="11"/>
      <c r="H911" s="11"/>
      <c r="I911" s="14">
        <v>0</v>
      </c>
      <c r="J911" s="14">
        <v>0</v>
      </c>
      <c r="K911" s="15" t="str">
        <f t="shared" ref="K911:K912" si="173">HYPERLINK("http://www.bitmomentum.com","bitMomentum Bot")</f>
        <v>bitMomentum Bot</v>
      </c>
      <c r="L911" s="14">
        <v>10254</v>
      </c>
      <c r="M911" s="14">
        <v>1059</v>
      </c>
      <c r="N911" s="14">
        <v>263</v>
      </c>
      <c r="O911" s="16"/>
      <c r="P911" s="6">
        <v>41608.667511574073</v>
      </c>
      <c r="Q911" s="11"/>
      <c r="R911" s="17" t="s">
        <v>1897</v>
      </c>
      <c r="S911" s="13" t="s">
        <v>1898</v>
      </c>
      <c r="T911" s="11"/>
      <c r="U911" s="10" t="str">
        <f t="shared" ref="U911:U912" si="174">HYPERLINK("https://pbs.twimg.com/profile_images/378800000862185241/20ij2H3u.png","View")</f>
        <v>View</v>
      </c>
    </row>
    <row r="912" spans="1:21" ht="51">
      <c r="A912" s="6">
        <v>43440.459027777775</v>
      </c>
      <c r="B912" s="7" t="str">
        <f t="shared" si="172"/>
        <v>@bitMomentum</v>
      </c>
      <c r="C912" s="8" t="s">
        <v>1889</v>
      </c>
      <c r="D912" s="9" t="s">
        <v>3196</v>
      </c>
      <c r="E912" s="10" t="str">
        <f>HYPERLINK("https://twitter.com/bitMomentum/status/1070619103990374400","1070619103990374400")</f>
        <v>1070619103990374400</v>
      </c>
      <c r="F912" s="11"/>
      <c r="G912" s="11"/>
      <c r="H912" s="11"/>
      <c r="I912" s="14">
        <v>1</v>
      </c>
      <c r="J912" s="14">
        <v>2</v>
      </c>
      <c r="K912" s="15" t="str">
        <f t="shared" si="173"/>
        <v>bitMomentum Bot</v>
      </c>
      <c r="L912" s="14">
        <v>10254</v>
      </c>
      <c r="M912" s="14">
        <v>1059</v>
      </c>
      <c r="N912" s="14">
        <v>263</v>
      </c>
      <c r="O912" s="16"/>
      <c r="P912" s="6">
        <v>41608.667511574073</v>
      </c>
      <c r="Q912" s="11"/>
      <c r="R912" s="17" t="s">
        <v>1897</v>
      </c>
      <c r="S912" s="13" t="s">
        <v>1898</v>
      </c>
      <c r="T912" s="11"/>
      <c r="U912" s="10" t="str">
        <f t="shared" si="174"/>
        <v>View</v>
      </c>
    </row>
    <row r="913" spans="1:21" ht="30.6">
      <c r="A913" s="6">
        <v>43440.458645833336</v>
      </c>
      <c r="B913" s="7" t="str">
        <f>HYPERLINK("https://twitter.com/InfoHeaders_Tes","@InfoHeaders_Tes")</f>
        <v>@InfoHeaders_Tes</v>
      </c>
      <c r="C913" s="8" t="s">
        <v>3294</v>
      </c>
      <c r="D913" s="9" t="s">
        <v>3843</v>
      </c>
      <c r="E913" s="10" t="str">
        <f>HYPERLINK("https://twitter.com/InfoHeaders_Tes/status/1070618968510091264","1070618968510091264")</f>
        <v>1070618968510091264</v>
      </c>
      <c r="F913" s="13" t="s">
        <v>3844</v>
      </c>
      <c r="G913" s="11"/>
      <c r="H913" s="11"/>
      <c r="I913" s="14">
        <v>0</v>
      </c>
      <c r="J913" s="14">
        <v>0</v>
      </c>
      <c r="K913" s="15" t="str">
        <f>HYPERLINK("http://www.infoheaders.com","Send _Tw_INFH_Test")</f>
        <v>Send _Tw_INFH_Test</v>
      </c>
      <c r="L913" s="14">
        <v>201</v>
      </c>
      <c r="M913" s="14">
        <v>1</v>
      </c>
      <c r="N913" s="14">
        <v>100</v>
      </c>
      <c r="O913" s="16"/>
      <c r="P913" s="6">
        <v>41315.710497685184</v>
      </c>
      <c r="Q913" s="12" t="s">
        <v>137</v>
      </c>
      <c r="R913" s="17" t="s">
        <v>3296</v>
      </c>
      <c r="S913" s="13" t="s">
        <v>3297</v>
      </c>
      <c r="T913" s="11"/>
      <c r="U913" s="10" t="str">
        <f>HYPERLINK("https://pbs.twimg.com/profile_images/3234700567/566c3c8e394f76d77a41eafe1bfc7aa3.jpeg","View")</f>
        <v>View</v>
      </c>
    </row>
    <row r="914" spans="1:21" ht="40.799999999999997">
      <c r="A914" s="6">
        <v>43440.454814814817</v>
      </c>
      <c r="B914" s="7" t="str">
        <f>HYPERLINK("https://twitter.com/CsMadVicalvaro","@CsMadVicalvaro")</f>
        <v>@CsMadVicalvaro</v>
      </c>
      <c r="C914" s="8" t="s">
        <v>3200</v>
      </c>
      <c r="D914" s="9" t="s">
        <v>3201</v>
      </c>
      <c r="E914" s="10" t="str">
        <f>HYPERLINK("https://twitter.com/CsMadVicalvaro/status/1070617577267838976","1070617577267838976")</f>
        <v>1070617577267838976</v>
      </c>
      <c r="F914" s="11"/>
      <c r="G914" s="13" t="s">
        <v>3205</v>
      </c>
      <c r="H914" s="11"/>
      <c r="I914" s="14">
        <v>9</v>
      </c>
      <c r="J914" s="14">
        <v>9</v>
      </c>
      <c r="K914" s="15" t="str">
        <f>HYPERLINK("http://twitter.com/download/android","Twitter for Android")</f>
        <v>Twitter for Android</v>
      </c>
      <c r="L914" s="14">
        <v>1436</v>
      </c>
      <c r="M914" s="14">
        <v>660</v>
      </c>
      <c r="N914" s="14">
        <v>23</v>
      </c>
      <c r="O914" s="16"/>
      <c r="P914" s="6">
        <v>42291.714479166665</v>
      </c>
      <c r="Q914" s="12" t="s">
        <v>3206</v>
      </c>
      <c r="R914" s="17" t="s">
        <v>3207</v>
      </c>
      <c r="S914" s="13" t="s">
        <v>1587</v>
      </c>
      <c r="T914" s="11"/>
      <c r="U914" s="10" t="str">
        <f>HYPERLINK("https://pbs.twimg.com/profile_images/899727307300110336/9XmQz0du.jpg","View")</f>
        <v>View</v>
      </c>
    </row>
    <row r="915" spans="1:21" ht="51">
      <c r="A915" s="6">
        <v>43440.453518518523</v>
      </c>
      <c r="B915" s="7" t="str">
        <f>HYPERLINK("https://twitter.com/mrtcrxv","@mrtcrxv")</f>
        <v>@mrtcrxv</v>
      </c>
      <c r="C915" s="8" t="s">
        <v>3210</v>
      </c>
      <c r="D915" s="9" t="s">
        <v>3211</v>
      </c>
      <c r="E915" s="10" t="str">
        <f>HYPERLINK("https://twitter.com/mrtcrxv/status/1070617109284208644","1070617109284208644")</f>
        <v>1070617109284208644</v>
      </c>
      <c r="F915" s="12" t="s">
        <v>3213</v>
      </c>
      <c r="G915" s="11"/>
      <c r="H915" s="11"/>
      <c r="I915" s="14">
        <v>0</v>
      </c>
      <c r="J915" s="14">
        <v>0</v>
      </c>
      <c r="K915" s="15" t="str">
        <f>HYPERLINK("http://twitter.com/download/iphone","Twitter for iPhone")</f>
        <v>Twitter for iPhone</v>
      </c>
      <c r="L915" s="14">
        <v>103</v>
      </c>
      <c r="M915" s="14">
        <v>378</v>
      </c>
      <c r="N915" s="14">
        <v>1</v>
      </c>
      <c r="O915" s="16"/>
      <c r="P915" s="6">
        <v>41046.864803240736</v>
      </c>
      <c r="Q915" s="12" t="s">
        <v>3214</v>
      </c>
      <c r="R915" s="17" t="s">
        <v>3215</v>
      </c>
      <c r="S915" s="11"/>
      <c r="T915" s="11"/>
      <c r="U915" s="10" t="str">
        <f>HYPERLINK("https://pbs.twimg.com/profile_images/1034518116250857472/KAH06h9W.jpg","View")</f>
        <v>View</v>
      </c>
    </row>
    <row r="916" spans="1:21" ht="40.799999999999997">
      <c r="A916" s="6">
        <v>43440.452870370369</v>
      </c>
      <c r="B916" s="7" t="str">
        <f>HYPERLINK("https://twitter.com/eljoe80","@eljoe80")</f>
        <v>@eljoe80</v>
      </c>
      <c r="C916" s="8" t="s">
        <v>3219</v>
      </c>
      <c r="D916" s="9" t="s">
        <v>3220</v>
      </c>
      <c r="E916" s="10" t="str">
        <f>HYPERLINK("https://twitter.com/eljoe80/status/1070616875481137153","1070616875481137153")</f>
        <v>1070616875481137153</v>
      </c>
      <c r="F916" s="11"/>
      <c r="G916" s="13" t="s">
        <v>3221</v>
      </c>
      <c r="H916" s="11"/>
      <c r="I916" s="14">
        <v>0</v>
      </c>
      <c r="J916" s="14">
        <v>0</v>
      </c>
      <c r="K916" s="15" t="str">
        <f>HYPERLINK("http://twitter.com/download/android","Twitter for Android")</f>
        <v>Twitter for Android</v>
      </c>
      <c r="L916" s="14">
        <v>2945</v>
      </c>
      <c r="M916" s="14">
        <v>1596</v>
      </c>
      <c r="N916" s="14">
        <v>74</v>
      </c>
      <c r="O916" s="16"/>
      <c r="P916" s="6">
        <v>39948.322592592594</v>
      </c>
      <c r="Q916" s="12" t="s">
        <v>3222</v>
      </c>
      <c r="R916" s="17" t="s">
        <v>3223</v>
      </c>
      <c r="S916" s="13" t="s">
        <v>3224</v>
      </c>
      <c r="T916" s="11"/>
      <c r="U916" s="10" t="str">
        <f>HYPERLINK("https://pbs.twimg.com/profile_images/1054027359928623111/mjZvW1b-.jpg","View")</f>
        <v>View</v>
      </c>
    </row>
    <row r="917" spans="1:21" ht="40.799999999999997">
      <c r="A917" s="6">
        <v>43440.451087962967</v>
      </c>
      <c r="B917" s="7" t="str">
        <f>HYPERLINK("https://twitter.com/LaTribunadelPV","@LaTribunadelPV")</f>
        <v>@LaTribunadelPV</v>
      </c>
      <c r="C917" s="8" t="s">
        <v>3854</v>
      </c>
      <c r="D917" s="9" t="s">
        <v>3855</v>
      </c>
      <c r="E917" s="10" t="str">
        <f>HYPERLINK("https://twitter.com/LaTribunadelPV/status/1070616229591822337","1070616229591822337")</f>
        <v>1070616229591822337</v>
      </c>
      <c r="F917" s="13" t="s">
        <v>3856</v>
      </c>
      <c r="G917" s="13" t="s">
        <v>3857</v>
      </c>
      <c r="H917" s="11"/>
      <c r="I917" s="14">
        <v>0</v>
      </c>
      <c r="J917" s="14">
        <v>0</v>
      </c>
      <c r="K917" s="15" t="str">
        <f>HYPERLINK("http://twitter.com","Twitter Web Client")</f>
        <v>Twitter Web Client</v>
      </c>
      <c r="L917" s="14">
        <v>1425</v>
      </c>
      <c r="M917" s="14">
        <v>236</v>
      </c>
      <c r="N917" s="14">
        <v>66</v>
      </c>
      <c r="O917" s="16"/>
      <c r="P917" s="6">
        <v>41575.445775462962</v>
      </c>
      <c r="Q917" s="12" t="s">
        <v>3858</v>
      </c>
      <c r="R917" s="17" t="s">
        <v>3859</v>
      </c>
      <c r="S917" s="13" t="s">
        <v>3860</v>
      </c>
      <c r="T917" s="11"/>
      <c r="U917" s="10" t="str">
        <f>HYPERLINK("https://pbs.twimg.com/profile_images/465150573017178113/OjEHIbqm.jpeg","View")</f>
        <v>View</v>
      </c>
    </row>
    <row r="918" spans="1:21" ht="30.6">
      <c r="A918" s="6">
        <v>43440.45103009259</v>
      </c>
      <c r="B918" s="7" t="str">
        <f>HYPERLINK("https://twitter.com/ridermarina","@ridermarina")</f>
        <v>@ridermarina</v>
      </c>
      <c r="C918" s="8" t="s">
        <v>3862</v>
      </c>
      <c r="D918" s="9" t="s">
        <v>3863</v>
      </c>
      <c r="E918" s="10" t="str">
        <f>HYPERLINK("https://twitter.com/ridermarina/status/1070616205147467777","1070616205147467777")</f>
        <v>1070616205147467777</v>
      </c>
      <c r="F918" s="13" t="s">
        <v>2517</v>
      </c>
      <c r="G918" s="11"/>
      <c r="H918" s="11"/>
      <c r="I918" s="14">
        <v>1</v>
      </c>
      <c r="J918" s="14">
        <v>1</v>
      </c>
      <c r="K918" s="15" t="str">
        <f>HYPERLINK("http://twitter.com/download/android","Twitter for Android")</f>
        <v>Twitter for Android</v>
      </c>
      <c r="L918" s="14">
        <v>8597</v>
      </c>
      <c r="M918" s="14">
        <v>9132</v>
      </c>
      <c r="N918" s="14">
        <v>210</v>
      </c>
      <c r="O918" s="16"/>
      <c r="P918" s="6">
        <v>40547.582106481481</v>
      </c>
      <c r="Q918" s="12" t="s">
        <v>3864</v>
      </c>
      <c r="R918" s="17" t="s">
        <v>3865</v>
      </c>
      <c r="S918" s="11"/>
      <c r="T918" s="11"/>
      <c r="U918" s="10" t="str">
        <f>HYPERLINK("https://pbs.twimg.com/profile_images/1069531664152449024/86eo3KY3.jpg","View")</f>
        <v>View</v>
      </c>
    </row>
    <row r="919" spans="1:21" ht="30.6">
      <c r="A919" s="6">
        <v>43440.450902777782</v>
      </c>
      <c r="B919" s="7" t="str">
        <f>HYPERLINK("https://twitter.com/TeresaGS26","@TeresaGS26")</f>
        <v>@TeresaGS26</v>
      </c>
      <c r="C919" s="8" t="s">
        <v>3867</v>
      </c>
      <c r="D919" s="9" t="s">
        <v>3868</v>
      </c>
      <c r="E919" s="10" t="str">
        <f>HYPERLINK("https://twitter.com/TeresaGS26/status/1070616159941259264","1070616159941259264")</f>
        <v>1070616159941259264</v>
      </c>
      <c r="F919" s="13" t="s">
        <v>3869</v>
      </c>
      <c r="G919" s="11"/>
      <c r="H919" s="11"/>
      <c r="I919" s="14">
        <v>0</v>
      </c>
      <c r="J919" s="14">
        <v>0</v>
      </c>
      <c r="K919" s="15" t="str">
        <f>HYPERLINK("http://twitter.com/download/iphone","Twitter for iPhone")</f>
        <v>Twitter for iPhone</v>
      </c>
      <c r="L919" s="14">
        <v>843</v>
      </c>
      <c r="M919" s="14">
        <v>1019</v>
      </c>
      <c r="N919" s="14">
        <v>18</v>
      </c>
      <c r="O919" s="16"/>
      <c r="P919" s="6">
        <v>42241.614548611113</v>
      </c>
      <c r="Q919" s="11"/>
      <c r="R919" s="17" t="s">
        <v>3870</v>
      </c>
      <c r="S919" s="11"/>
      <c r="T919" s="11"/>
      <c r="U919" s="10" t="str">
        <f>HYPERLINK("https://pbs.twimg.com/profile_images/636159808249446400/2J9thX4B.jpg","View")</f>
        <v>View</v>
      </c>
    </row>
    <row r="920" spans="1:21" ht="20.399999999999999">
      <c r="A920" s="6">
        <v>43440.448298611111</v>
      </c>
      <c r="B920" s="7" t="str">
        <f>HYPERLINK("https://twitter.com/MarineTortuga","@MarineTortuga")</f>
        <v>@MarineTortuga</v>
      </c>
      <c r="C920" s="8" t="s">
        <v>3872</v>
      </c>
      <c r="D920" s="9" t="s">
        <v>3873</v>
      </c>
      <c r="E920" s="10" t="str">
        <f>HYPERLINK("https://twitter.com/MarineTortuga/status/1070615218307379200","1070615218307379200")</f>
        <v>1070615218307379200</v>
      </c>
      <c r="F920" s="11"/>
      <c r="G920" s="11"/>
      <c r="H920" s="11"/>
      <c r="I920" s="14">
        <v>0</v>
      </c>
      <c r="J920" s="14">
        <v>2</v>
      </c>
      <c r="K920" s="15" t="str">
        <f>HYPERLINK("http://twitter.com/download/android","Twitter for Android")</f>
        <v>Twitter for Android</v>
      </c>
      <c r="L920" s="14">
        <v>486</v>
      </c>
      <c r="M920" s="14">
        <v>238</v>
      </c>
      <c r="N920" s="14">
        <v>25</v>
      </c>
      <c r="O920" s="16"/>
      <c r="P920" s="6">
        <v>41520.688194444447</v>
      </c>
      <c r="Q920" s="12" t="s">
        <v>3874</v>
      </c>
      <c r="R920" s="17" t="s">
        <v>3875</v>
      </c>
      <c r="S920" s="13" t="s">
        <v>3876</v>
      </c>
      <c r="T920" s="11"/>
      <c r="U920" s="10" t="str">
        <f>HYPERLINK("https://pbs.twimg.com/profile_images/1059166311123705856/9wK-HRTj.jpg","View")</f>
        <v>View</v>
      </c>
    </row>
    <row r="921" spans="1:21" ht="61.2">
      <c r="A921" s="6">
        <v>43440.448194444441</v>
      </c>
      <c r="B921" s="7" t="str">
        <f>HYPERLINK("https://twitter.com/Ronald_C_Stern","@Ronald_C_Stern")</f>
        <v>@Ronald_C_Stern</v>
      </c>
      <c r="C921" s="8" t="s">
        <v>3227</v>
      </c>
      <c r="D921" s="9" t="s">
        <v>3228</v>
      </c>
      <c r="E921" s="10" t="str">
        <f>HYPERLINK("https://twitter.com/Ronald_C_Stern/status/1070615178063028224","1070615178063028224")</f>
        <v>1070615178063028224</v>
      </c>
      <c r="F921" s="13" t="s">
        <v>3232</v>
      </c>
      <c r="G921" s="11"/>
      <c r="H921" s="11"/>
      <c r="I921" s="14">
        <v>4</v>
      </c>
      <c r="J921" s="14">
        <v>4</v>
      </c>
      <c r="K921" s="15" t="str">
        <f>HYPERLINK("http://twitter.com/download/iphone","Twitter for iPhone")</f>
        <v>Twitter for iPhone</v>
      </c>
      <c r="L921" s="14">
        <v>20567</v>
      </c>
      <c r="M921" s="14">
        <v>23398</v>
      </c>
      <c r="N921" s="14">
        <v>178</v>
      </c>
      <c r="O921" s="16"/>
      <c r="P921" s="6">
        <v>40609.729062500002</v>
      </c>
      <c r="Q921" s="12" t="s">
        <v>137</v>
      </c>
      <c r="R921" s="17" t="s">
        <v>3236</v>
      </c>
      <c r="S921" s="13" t="s">
        <v>3237</v>
      </c>
      <c r="T921" s="11"/>
      <c r="U921" s="10" t="str">
        <f>HYPERLINK("https://pbs.twimg.com/profile_images/1509610723/32c7651.jpg","View")</f>
        <v>View</v>
      </c>
    </row>
    <row r="922" spans="1:21" ht="40.799999999999997">
      <c r="A922" s="6">
        <v>43440.4449537037</v>
      </c>
      <c r="B922" s="7" t="str">
        <f>HYPERLINK("https://twitter.com/GripauG","@GripauG")</f>
        <v>@GripauG</v>
      </c>
      <c r="C922" s="8" t="s">
        <v>154</v>
      </c>
      <c r="D922" s="9" t="s">
        <v>3877</v>
      </c>
      <c r="E922" s="10" t="str">
        <f>HYPERLINK("https://twitter.com/GripauG/status/1070614003423043584","1070614003423043584")</f>
        <v>1070614003423043584</v>
      </c>
      <c r="F922" s="11"/>
      <c r="G922" s="11"/>
      <c r="H922" s="11"/>
      <c r="I922" s="14">
        <v>0</v>
      </c>
      <c r="J922" s="14">
        <v>1</v>
      </c>
      <c r="K922" s="15" t="str">
        <f>HYPERLINK("http://twitter.com/#!/download/ipad","Twitter for iPad")</f>
        <v>Twitter for iPad</v>
      </c>
      <c r="L922" s="14">
        <v>32</v>
      </c>
      <c r="M922" s="14">
        <v>121</v>
      </c>
      <c r="N922" s="14">
        <v>1</v>
      </c>
      <c r="O922" s="16"/>
      <c r="P922" s="6">
        <v>43359.888645833329</v>
      </c>
      <c r="Q922" s="11"/>
      <c r="R922" s="17" t="s">
        <v>161</v>
      </c>
      <c r="S922" s="11"/>
      <c r="T922" s="11"/>
      <c r="U922" s="10" t="str">
        <f>HYPERLINK("https://pbs.twimg.com/profile_images/1055865454672179200/4zrcC5V_.jpg","View")</f>
        <v>View</v>
      </c>
    </row>
    <row r="923" spans="1:21" ht="40.799999999999997">
      <c r="A923" s="6">
        <v>43440.444930555561</v>
      </c>
      <c r="B923" s="7" t="str">
        <f>HYPERLINK("https://twitter.com/CsMadHortaleza","@CsMadHortaleza")</f>
        <v>@CsMadHortaleza</v>
      </c>
      <c r="C923" s="8" t="s">
        <v>3238</v>
      </c>
      <c r="D923" s="9" t="s">
        <v>3239</v>
      </c>
      <c r="E923" s="10" t="str">
        <f>HYPERLINK("https://twitter.com/CsMadHortaleza/status/1070613997987225600","1070613997987225600")</f>
        <v>1070613997987225600</v>
      </c>
      <c r="F923" s="13" t="s">
        <v>1316</v>
      </c>
      <c r="G923" s="11"/>
      <c r="H923" s="11"/>
      <c r="I923" s="14">
        <v>19</v>
      </c>
      <c r="J923" s="14">
        <v>20</v>
      </c>
      <c r="K923" s="15" t="str">
        <f t="shared" ref="K923:K925" si="175">HYPERLINK("http://twitter.com/download/android","Twitter for Android")</f>
        <v>Twitter for Android</v>
      </c>
      <c r="L923" s="14">
        <v>1885</v>
      </c>
      <c r="M923" s="14">
        <v>506</v>
      </c>
      <c r="N923" s="14">
        <v>26</v>
      </c>
      <c r="O923" s="16"/>
      <c r="P923" s="6">
        <v>42291.574328703704</v>
      </c>
      <c r="Q923" s="11"/>
      <c r="R923" s="17" t="s">
        <v>3240</v>
      </c>
      <c r="S923" s="13" t="s">
        <v>1587</v>
      </c>
      <c r="T923" s="11"/>
      <c r="U923" s="10" t="str">
        <f>HYPERLINK("https://pbs.twimg.com/profile_images/899563351214362624/qqc8AXnp.jpg","View")</f>
        <v>View</v>
      </c>
    </row>
    <row r="924" spans="1:21" ht="40.799999999999997">
      <c r="A924" s="6">
        <v>43440.444814814815</v>
      </c>
      <c r="B924" s="7" t="str">
        <f>HYPERLINK("https://twitter.com/diegomateoz","@diegomateoz")</f>
        <v>@diegomateoz</v>
      </c>
      <c r="C924" s="8" t="s">
        <v>3241</v>
      </c>
      <c r="D924" s="9" t="s">
        <v>3242</v>
      </c>
      <c r="E924" s="10" t="str">
        <f>HYPERLINK("https://twitter.com/diegomateoz/status/1070613954341335041","1070613954341335041")</f>
        <v>1070613954341335041</v>
      </c>
      <c r="F924" s="12" t="s">
        <v>3243</v>
      </c>
      <c r="G924" s="11"/>
      <c r="H924" s="11"/>
      <c r="I924" s="14">
        <v>0</v>
      </c>
      <c r="J924" s="14">
        <v>0</v>
      </c>
      <c r="K924" s="15" t="str">
        <f t="shared" si="175"/>
        <v>Twitter for Android</v>
      </c>
      <c r="L924" s="14">
        <v>122</v>
      </c>
      <c r="M924" s="14">
        <v>144</v>
      </c>
      <c r="N924" s="14">
        <v>1</v>
      </c>
      <c r="O924" s="16"/>
      <c r="P924" s="6">
        <v>43303.801157407404</v>
      </c>
      <c r="Q924" s="12" t="s">
        <v>3245</v>
      </c>
      <c r="R924" s="17" t="s">
        <v>3246</v>
      </c>
      <c r="S924" s="11"/>
      <c r="T924" s="11"/>
      <c r="U924" s="10" t="str">
        <f>HYPERLINK("https://pbs.twimg.com/profile_images/1023982177619509249/yFj5hJOe.jpg","View")</f>
        <v>View</v>
      </c>
    </row>
    <row r="925" spans="1:21" ht="112.2">
      <c r="A925" s="6">
        <v>43440.444247685184</v>
      </c>
      <c r="B925" s="7" t="str">
        <f>HYPERLINK("https://twitter.com/ribad71","@ribad71")</f>
        <v>@ribad71</v>
      </c>
      <c r="C925" s="8" t="s">
        <v>3248</v>
      </c>
      <c r="D925" s="9" t="s">
        <v>3249</v>
      </c>
      <c r="E925" s="10" t="str">
        <f>HYPERLINK("https://twitter.com/ribad71/status/1070613749592154112","1070613749592154112")</f>
        <v>1070613749592154112</v>
      </c>
      <c r="F925" s="13" t="s">
        <v>2103</v>
      </c>
      <c r="G925" s="13" t="s">
        <v>2105</v>
      </c>
      <c r="H925" s="11"/>
      <c r="I925" s="14">
        <v>31</v>
      </c>
      <c r="J925" s="14">
        <v>29</v>
      </c>
      <c r="K925" s="15" t="str">
        <f t="shared" si="175"/>
        <v>Twitter for Android</v>
      </c>
      <c r="L925" s="14">
        <v>318</v>
      </c>
      <c r="M925" s="14">
        <v>337</v>
      </c>
      <c r="N925" s="14">
        <v>2</v>
      </c>
      <c r="O925" s="16"/>
      <c r="P925" s="6">
        <v>41498.983576388891</v>
      </c>
      <c r="Q925" s="11"/>
      <c r="R925" s="17" t="s">
        <v>3250</v>
      </c>
      <c r="S925" s="11"/>
      <c r="T925" s="11"/>
      <c r="U925" s="10" t="str">
        <f>HYPERLINK("https://pbs.twimg.com/profile_images/1045306496723169280/a-GdGhOr.jpg","View")</f>
        <v>View</v>
      </c>
    </row>
    <row r="926" spans="1:21" ht="20.399999999999999">
      <c r="A926" s="6">
        <v>43440.443402777775</v>
      </c>
      <c r="B926" s="7" t="str">
        <f>HYPERLINK("https://twitter.com/boroscq","@boroscq")</f>
        <v>@boroscq</v>
      </c>
      <c r="C926" s="8" t="s">
        <v>582</v>
      </c>
      <c r="D926" s="9" t="s">
        <v>3888</v>
      </c>
      <c r="E926" s="10" t="str">
        <f>HYPERLINK("https://twitter.com/boroscq/status/1070613442455846912","1070613442455846912")</f>
        <v>1070613442455846912</v>
      </c>
      <c r="F926" s="13" t="s">
        <v>3889</v>
      </c>
      <c r="G926" s="11"/>
      <c r="H926" s="11"/>
      <c r="I926" s="14">
        <v>0</v>
      </c>
      <c r="J926" s="14">
        <v>0</v>
      </c>
      <c r="K926" s="15" t="str">
        <f>HYPERLINK("http://www.facebook.com/twitter","Facebook")</f>
        <v>Facebook</v>
      </c>
      <c r="L926" s="14">
        <v>241</v>
      </c>
      <c r="M926" s="14">
        <v>147</v>
      </c>
      <c r="N926" s="14">
        <v>22</v>
      </c>
      <c r="O926" s="16"/>
      <c r="P926" s="6">
        <v>40082.631307870368</v>
      </c>
      <c r="Q926" s="12" t="s">
        <v>586</v>
      </c>
      <c r="R926" s="17" t="s">
        <v>587</v>
      </c>
      <c r="S926" s="13" t="s">
        <v>588</v>
      </c>
      <c r="T926" s="11"/>
      <c r="U926" s="10" t="str">
        <f>HYPERLINK("https://pbs.twimg.com/profile_images/1031316357579718656/_isIg6h7.jpg","View")</f>
        <v>View</v>
      </c>
    </row>
    <row r="927" spans="1:21" ht="51">
      <c r="A927" s="6">
        <v>43440.441168981481</v>
      </c>
      <c r="B927" s="7" t="str">
        <f>HYPERLINK("https://twitter.com/Akrainsurrecto","@Akrainsurrecto")</f>
        <v>@Akrainsurrecto</v>
      </c>
      <c r="C927" s="8" t="s">
        <v>1480</v>
      </c>
      <c r="D927" s="9" t="s">
        <v>3251</v>
      </c>
      <c r="E927" s="10" t="str">
        <f>HYPERLINK("https://twitter.com/Akrainsurrecto/status/1070612634259607553","1070612634259607553")</f>
        <v>1070612634259607553</v>
      </c>
      <c r="F927" s="11"/>
      <c r="G927" s="11"/>
      <c r="H927" s="11"/>
      <c r="I927" s="14">
        <v>0</v>
      </c>
      <c r="J927" s="14">
        <v>0</v>
      </c>
      <c r="K927" s="15" t="str">
        <f>HYPERLINK("http://twitter.com","Twitter Web Client")</f>
        <v>Twitter Web Client</v>
      </c>
      <c r="L927" s="14">
        <v>2644</v>
      </c>
      <c r="M927" s="14">
        <v>2264</v>
      </c>
      <c r="N927" s="14">
        <v>12</v>
      </c>
      <c r="O927" s="16"/>
      <c r="P927" s="6">
        <v>41584.492210648146</v>
      </c>
      <c r="Q927" s="11"/>
      <c r="R927" s="17" t="s">
        <v>1482</v>
      </c>
      <c r="S927" s="11"/>
      <c r="T927" s="11"/>
      <c r="U927" s="10" t="str">
        <f>HYPERLINK("https://pbs.twimg.com/profile_images/378800000702242175/9308473ee8d6e49754ad631151c2ec8b.jpeg","View")</f>
        <v>View</v>
      </c>
    </row>
    <row r="928" spans="1:21" ht="20.399999999999999">
      <c r="A928" s="6">
        <v>43440.441030092596</v>
      </c>
      <c r="B928" s="7" t="str">
        <f>HYPERLINK("https://twitter.com/dcm1899","@dcm1899")</f>
        <v>@dcm1899</v>
      </c>
      <c r="C928" s="8" t="s">
        <v>3259</v>
      </c>
      <c r="D928" s="9" t="s">
        <v>3260</v>
      </c>
      <c r="E928" s="10" t="str">
        <f>HYPERLINK("https://twitter.com/dcm1899/status/1070612582501888000","1070612582501888000")</f>
        <v>1070612582501888000</v>
      </c>
      <c r="F928" s="13" t="s">
        <v>3261</v>
      </c>
      <c r="G928" s="11"/>
      <c r="H928" s="11"/>
      <c r="I928" s="14">
        <v>0</v>
      </c>
      <c r="J928" s="14">
        <v>0</v>
      </c>
      <c r="K928" s="15" t="str">
        <f t="shared" ref="K928:K929" si="176">HYPERLINK("http://twitter.com/download/android","Twitter for Android")</f>
        <v>Twitter for Android</v>
      </c>
      <c r="L928" s="14">
        <v>456</v>
      </c>
      <c r="M928" s="14">
        <v>438</v>
      </c>
      <c r="N928" s="14">
        <v>3</v>
      </c>
      <c r="O928" s="16"/>
      <c r="P928" s="6">
        <v>41334.453958333332</v>
      </c>
      <c r="Q928" s="11"/>
      <c r="R928" s="17" t="s">
        <v>3262</v>
      </c>
      <c r="S928" s="11"/>
      <c r="T928" s="11"/>
      <c r="U928" s="10" t="str">
        <f>HYPERLINK("https://pbs.twimg.com/profile_images/483591377570103296/UOfrheR2.jpeg","View")</f>
        <v>View</v>
      </c>
    </row>
    <row r="929" spans="1:21" ht="40.799999999999997">
      <c r="A929" s="6">
        <v>43440.439976851849</v>
      </c>
      <c r="B929" s="7" t="str">
        <f>HYPERLINK("https://twitter.com/Mandrolo94","@Mandrolo94")</f>
        <v>@Mandrolo94</v>
      </c>
      <c r="C929" s="8" t="s">
        <v>3901</v>
      </c>
      <c r="D929" s="9" t="s">
        <v>3902</v>
      </c>
      <c r="E929" s="10" t="str">
        <f>HYPERLINK("https://twitter.com/Mandrolo94/status/1070612199830368256","1070612199830368256")</f>
        <v>1070612199830368256</v>
      </c>
      <c r="F929" s="11"/>
      <c r="G929" s="13" t="s">
        <v>3903</v>
      </c>
      <c r="H929" s="11"/>
      <c r="I929" s="14">
        <v>0</v>
      </c>
      <c r="J929" s="14">
        <v>2</v>
      </c>
      <c r="K929" s="15" t="str">
        <f t="shared" si="176"/>
        <v>Twitter for Android</v>
      </c>
      <c r="L929" s="14">
        <v>241</v>
      </c>
      <c r="M929" s="14">
        <v>320</v>
      </c>
      <c r="N929" s="14">
        <v>0</v>
      </c>
      <c r="O929" s="16"/>
      <c r="P929" s="6">
        <v>41253.977094907408</v>
      </c>
      <c r="Q929" s="12" t="s">
        <v>3904</v>
      </c>
      <c r="R929" s="17" t="s">
        <v>3905</v>
      </c>
      <c r="S929" s="11"/>
      <c r="T929" s="11"/>
      <c r="U929" s="10" t="str">
        <f>HYPERLINK("https://pbs.twimg.com/profile_images/1062433463985455105/DXm7l5Xi.jpg","View")</f>
        <v>View</v>
      </c>
    </row>
    <row r="930" spans="1:21" ht="40.799999999999997">
      <c r="A930" s="6">
        <v>43440.439212962963</v>
      </c>
      <c r="B930" s="7" t="str">
        <f>HYPERLINK("https://twitter.com/DDRitter","@DDRitter")</f>
        <v>@DDRitter</v>
      </c>
      <c r="C930" s="8" t="s">
        <v>3909</v>
      </c>
      <c r="D930" s="9" t="s">
        <v>3910</v>
      </c>
      <c r="E930" s="10" t="str">
        <f>HYPERLINK("https://twitter.com/DDRitter/status/1070611924059086849","1070611924059086849")</f>
        <v>1070611924059086849</v>
      </c>
      <c r="F930" s="13" t="s">
        <v>3912</v>
      </c>
      <c r="G930" s="11"/>
      <c r="H930" s="11"/>
      <c r="I930" s="14">
        <v>1</v>
      </c>
      <c r="J930" s="14">
        <v>1</v>
      </c>
      <c r="K930" s="15" t="str">
        <f>HYPERLINK("http://twitter.com","Twitter Web Client")</f>
        <v>Twitter Web Client</v>
      </c>
      <c r="L930" s="14">
        <v>255</v>
      </c>
      <c r="M930" s="14">
        <v>52</v>
      </c>
      <c r="N930" s="14">
        <v>11</v>
      </c>
      <c r="O930" s="16"/>
      <c r="P930" s="6">
        <v>39457.503321759257</v>
      </c>
      <c r="Q930" s="12" t="s">
        <v>3914</v>
      </c>
      <c r="R930" s="17" t="s">
        <v>3915</v>
      </c>
      <c r="S930" s="11"/>
      <c r="T930" s="11"/>
      <c r="U930" s="10" t="str">
        <f>HYPERLINK("https://pbs.twimg.com/profile_images/1061925878005989376/L22uU25t.jpg","View")</f>
        <v>View</v>
      </c>
    </row>
    <row r="931" spans="1:21" ht="51">
      <c r="A931" s="6">
        <v>43440.439050925925</v>
      </c>
      <c r="B931" s="7" t="str">
        <f>HYPERLINK("https://twitter.com/JoseMan80039684","@JoseMan80039684")</f>
        <v>@JoseMan80039684</v>
      </c>
      <c r="C931" s="8" t="s">
        <v>71</v>
      </c>
      <c r="D931" s="9" t="s">
        <v>3917</v>
      </c>
      <c r="E931" s="10" t="str">
        <f>HYPERLINK("https://twitter.com/JoseMan80039684/status/1070611867888955392","1070611867888955392")</f>
        <v>1070611867888955392</v>
      </c>
      <c r="F931" s="11"/>
      <c r="G931" s="11"/>
      <c r="H931" s="11"/>
      <c r="I931" s="14">
        <v>0</v>
      </c>
      <c r="J931" s="14">
        <v>3</v>
      </c>
      <c r="K931" s="15" t="str">
        <f>HYPERLINK("http://twitter.com/download/android","Twitter for Android")</f>
        <v>Twitter for Android</v>
      </c>
      <c r="L931" s="14">
        <v>214</v>
      </c>
      <c r="M931" s="14">
        <v>455</v>
      </c>
      <c r="N931" s="14">
        <v>2</v>
      </c>
      <c r="O931" s="16"/>
      <c r="P931" s="6">
        <v>41055.613368055558</v>
      </c>
      <c r="Q931" s="11"/>
      <c r="R931" s="18"/>
      <c r="S931" s="11"/>
      <c r="T931" s="11"/>
      <c r="U931" s="10" t="str">
        <f>HYPERLINK("https://pbs.twimg.com/profile_images/495846739950063617/mLhmB2nG.jpeg","View")</f>
        <v>View</v>
      </c>
    </row>
    <row r="932" spans="1:21" ht="61.2">
      <c r="A932" s="6">
        <v>43440.438460648147</v>
      </c>
      <c r="B932" s="7" t="str">
        <f>HYPERLINK("https://twitter.com/Anroluir","@Anroluir")</f>
        <v>@Anroluir</v>
      </c>
      <c r="C932" s="8" t="s">
        <v>3920</v>
      </c>
      <c r="D932" s="9" t="s">
        <v>3921</v>
      </c>
      <c r="E932" s="10" t="str">
        <f>HYPERLINK("https://twitter.com/Anroluir/status/1070611650804371458","1070611650804371458")</f>
        <v>1070611650804371458</v>
      </c>
      <c r="F932" s="12" t="s">
        <v>2443</v>
      </c>
      <c r="G932" s="11"/>
      <c r="H932" s="11"/>
      <c r="I932" s="14">
        <v>0</v>
      </c>
      <c r="J932" s="14">
        <v>0</v>
      </c>
      <c r="K932" s="15" t="str">
        <f t="shared" ref="K932:K933" si="177">HYPERLINK("http://twitter.com","Twitter Web Client")</f>
        <v>Twitter Web Client</v>
      </c>
      <c r="L932" s="14">
        <v>46</v>
      </c>
      <c r="M932" s="14">
        <v>86</v>
      </c>
      <c r="N932" s="14">
        <v>5</v>
      </c>
      <c r="O932" s="16"/>
      <c r="P932" s="6">
        <v>41430.351273148146</v>
      </c>
      <c r="Q932" s="11"/>
      <c r="R932" s="17" t="s">
        <v>3922</v>
      </c>
      <c r="S932" s="11"/>
      <c r="T932" s="11"/>
      <c r="U932" s="10" t="str">
        <f>HYPERLINK("https://pbs.twimg.com/profile_images/378800000819291653/2e577beb8bc714d3f071025c5c487d36.jpeg","View")</f>
        <v>View</v>
      </c>
    </row>
    <row r="933" spans="1:21" ht="30.6">
      <c r="A933" s="6">
        <v>43440.436956018515</v>
      </c>
      <c r="B933" s="7" t="str">
        <f>HYPERLINK("https://twitter.com/jsamperman","@jsamperman")</f>
        <v>@jsamperman</v>
      </c>
      <c r="C933" s="8" t="s">
        <v>3264</v>
      </c>
      <c r="D933" s="9" t="s">
        <v>3265</v>
      </c>
      <c r="E933" s="10" t="str">
        <f>HYPERLINK("https://twitter.com/jsamperman/status/1070611106308202497","1070611106308202497")</f>
        <v>1070611106308202497</v>
      </c>
      <c r="F933" s="11"/>
      <c r="G933" s="11"/>
      <c r="H933" s="11"/>
      <c r="I933" s="14">
        <v>0</v>
      </c>
      <c r="J933" s="14">
        <v>0</v>
      </c>
      <c r="K933" s="15" t="str">
        <f t="shared" si="177"/>
        <v>Twitter Web Client</v>
      </c>
      <c r="L933" s="14">
        <v>106</v>
      </c>
      <c r="M933" s="14">
        <v>384</v>
      </c>
      <c r="N933" s="14">
        <v>2</v>
      </c>
      <c r="O933" s="16"/>
      <c r="P933" s="6">
        <v>40654.534710648149</v>
      </c>
      <c r="Q933" s="12" t="s">
        <v>3266</v>
      </c>
      <c r="R933" s="18"/>
      <c r="S933" s="11"/>
      <c r="T933" s="11"/>
      <c r="U933" s="10" t="str">
        <f>HYPERLINK("https://pbs.twimg.com/profile_images/2498523176/rjj1f5kgo5ij52w0uf90.jpeg","View")</f>
        <v>View</v>
      </c>
    </row>
    <row r="934" spans="1:21" ht="51">
      <c r="A934" s="6">
        <v>43440.43644675926</v>
      </c>
      <c r="B934" s="7" t="str">
        <f>HYPERLINK("https://twitter.com/CsVillalbilla","@CsVillalbilla")</f>
        <v>@CsVillalbilla</v>
      </c>
      <c r="C934" s="8" t="s">
        <v>3267</v>
      </c>
      <c r="D934" s="9" t="s">
        <v>3268</v>
      </c>
      <c r="E934" s="10" t="str">
        <f>HYPERLINK("https://twitter.com/CsVillalbilla/status/1070610923092619266","1070610923092619266")</f>
        <v>1070610923092619266</v>
      </c>
      <c r="F934" s="11"/>
      <c r="G934" s="13" t="s">
        <v>3269</v>
      </c>
      <c r="H934" s="11"/>
      <c r="I934" s="14">
        <v>4</v>
      </c>
      <c r="J934" s="14">
        <v>5</v>
      </c>
      <c r="K934" s="15" t="str">
        <f t="shared" ref="K934:K936" si="178">HYPERLINK("http://twitter.com/download/android","Twitter for Android")</f>
        <v>Twitter for Android</v>
      </c>
      <c r="L934" s="14">
        <v>2628</v>
      </c>
      <c r="M934" s="14">
        <v>1195</v>
      </c>
      <c r="N934" s="14">
        <v>26</v>
      </c>
      <c r="O934" s="16"/>
      <c r="P934" s="6">
        <v>42009.584074074075</v>
      </c>
      <c r="Q934" s="12" t="s">
        <v>3270</v>
      </c>
      <c r="R934" s="17" t="s">
        <v>3271</v>
      </c>
      <c r="S934" s="11"/>
      <c r="T934" s="11"/>
      <c r="U934" s="10" t="str">
        <f>HYPERLINK("https://pbs.twimg.com/profile_images/899387375926861829/cFkLEbPl.jpg","View")</f>
        <v>View</v>
      </c>
    </row>
    <row r="935" spans="1:21" ht="61.2">
      <c r="A935" s="6">
        <v>43440.433321759258</v>
      </c>
      <c r="B935" s="7" t="str">
        <f>HYPERLINK("https://twitter.com/Ojiplatico2018","@Ojiplatico2018")</f>
        <v>@Ojiplatico2018</v>
      </c>
      <c r="C935" s="8" t="s">
        <v>3274</v>
      </c>
      <c r="D935" s="9" t="s">
        <v>3275</v>
      </c>
      <c r="E935" s="10" t="str">
        <f>HYPERLINK("https://twitter.com/Ojiplatico2018/status/1070609790391517184","1070609790391517184")</f>
        <v>1070609790391517184</v>
      </c>
      <c r="F935" s="12" t="s">
        <v>2857</v>
      </c>
      <c r="G935" s="11"/>
      <c r="H935" s="11"/>
      <c r="I935" s="14">
        <v>0</v>
      </c>
      <c r="J935" s="14">
        <v>1</v>
      </c>
      <c r="K935" s="15" t="str">
        <f t="shared" si="178"/>
        <v>Twitter for Android</v>
      </c>
      <c r="L935" s="14">
        <v>447</v>
      </c>
      <c r="M935" s="14">
        <v>487</v>
      </c>
      <c r="N935" s="14">
        <v>2</v>
      </c>
      <c r="O935" s="16"/>
      <c r="P935" s="6">
        <v>43208.61518518519</v>
      </c>
      <c r="Q935" s="11"/>
      <c r="R935" s="17" t="s">
        <v>3276</v>
      </c>
      <c r="S935" s="11"/>
      <c r="T935" s="11"/>
      <c r="U935" s="10" t="str">
        <f>HYPERLINK("https://pbs.twimg.com/profile_images/986589222269280256/MZfsDuMx.jpg","View")</f>
        <v>View</v>
      </c>
    </row>
    <row r="936" spans="1:21" ht="81.599999999999994">
      <c r="A936" s="6">
        <v>43440.433090277773</v>
      </c>
      <c r="B936" s="7" t="str">
        <f>HYPERLINK("https://twitter.com/SantBoig","@SantBoig")</f>
        <v>@SantBoig</v>
      </c>
      <c r="C936" s="8" t="s">
        <v>3277</v>
      </c>
      <c r="D936" s="9" t="s">
        <v>3278</v>
      </c>
      <c r="E936" s="10" t="str">
        <f>HYPERLINK("https://twitter.com/SantBoig/status/1070609705490366466","1070609705490366466")</f>
        <v>1070609705490366466</v>
      </c>
      <c r="F936" s="13" t="s">
        <v>3279</v>
      </c>
      <c r="G936" s="13" t="s">
        <v>3280</v>
      </c>
      <c r="H936" s="11"/>
      <c r="I936" s="14">
        <v>0</v>
      </c>
      <c r="J936" s="14">
        <v>0</v>
      </c>
      <c r="K936" s="15" t="str">
        <f t="shared" si="178"/>
        <v>Twitter for Android</v>
      </c>
      <c r="L936" s="14">
        <v>317</v>
      </c>
      <c r="M936" s="14">
        <v>630</v>
      </c>
      <c r="N936" s="14">
        <v>9</v>
      </c>
      <c r="O936" s="16"/>
      <c r="P936" s="6">
        <v>40596.569247685184</v>
      </c>
      <c r="Q936" s="12" t="s">
        <v>3281</v>
      </c>
      <c r="R936" s="17" t="s">
        <v>3282</v>
      </c>
      <c r="S936" s="11"/>
      <c r="T936" s="11"/>
      <c r="U936" s="10" t="str">
        <f>HYPERLINK("https://pbs.twimg.com/profile_images/1010587285044322309/2R6Fc6cu.jpg","View")</f>
        <v>View</v>
      </c>
    </row>
    <row r="937" spans="1:21" ht="51">
      <c r="A937" s="6">
        <v>43440.432974537034</v>
      </c>
      <c r="B937" s="7" t="str">
        <f>HYPERLINK("https://twitter.com/Jose_Martinez72","@Jose_Martinez72")</f>
        <v>@Jose_Martinez72</v>
      </c>
      <c r="C937" s="8" t="s">
        <v>3285</v>
      </c>
      <c r="D937" s="9" t="s">
        <v>3286</v>
      </c>
      <c r="E937" s="10" t="str">
        <f>HYPERLINK("https://twitter.com/Jose_Martinez72/status/1070609664591781888","1070609664591781888")</f>
        <v>1070609664591781888</v>
      </c>
      <c r="F937" s="11"/>
      <c r="G937" s="13" t="s">
        <v>3289</v>
      </c>
      <c r="H937" s="11"/>
      <c r="I937" s="14">
        <v>0</v>
      </c>
      <c r="J937" s="14">
        <v>0</v>
      </c>
      <c r="K937" s="15" t="str">
        <f>HYPERLINK("http://www.facebook.com/twitter","Facebook")</f>
        <v>Facebook</v>
      </c>
      <c r="L937" s="14">
        <v>953</v>
      </c>
      <c r="M937" s="14">
        <v>887</v>
      </c>
      <c r="N937" s="14">
        <v>10</v>
      </c>
      <c r="O937" s="16"/>
      <c r="P937" s="6">
        <v>42885.782453703709</v>
      </c>
      <c r="Q937" s="12" t="s">
        <v>969</v>
      </c>
      <c r="R937" s="17" t="s">
        <v>3292</v>
      </c>
      <c r="S937" s="13" t="s">
        <v>3293</v>
      </c>
      <c r="T937" s="11"/>
      <c r="U937" s="10" t="str">
        <f>HYPERLINK("https://pbs.twimg.com/profile_images/1070255843386556416/yQDMZSox.jpg","View")</f>
        <v>View</v>
      </c>
    </row>
    <row r="938" spans="1:21" ht="51">
      <c r="A938" s="6">
        <v>43440.431331018517</v>
      </c>
      <c r="B938" s="7" t="str">
        <f>HYPERLINK("https://twitter.com/Inaky_25","@Inaky_25")</f>
        <v>@Inaky_25</v>
      </c>
      <c r="C938" s="8" t="s">
        <v>3298</v>
      </c>
      <c r="D938" s="9" t="s">
        <v>3299</v>
      </c>
      <c r="E938" s="10" t="str">
        <f>HYPERLINK("https://twitter.com/Inaky_25/status/1070609069654851584","1070609069654851584")</f>
        <v>1070609069654851584</v>
      </c>
      <c r="F938" s="13" t="s">
        <v>3302</v>
      </c>
      <c r="G938" s="11"/>
      <c r="H938" s="11"/>
      <c r="I938" s="14">
        <v>0</v>
      </c>
      <c r="J938" s="14">
        <v>0</v>
      </c>
      <c r="K938" s="15" t="str">
        <f>HYPERLINK("http://twitter.com/download/android","Twitter for Android")</f>
        <v>Twitter for Android</v>
      </c>
      <c r="L938" s="14">
        <v>845</v>
      </c>
      <c r="M938" s="14">
        <v>696</v>
      </c>
      <c r="N938" s="14">
        <v>4</v>
      </c>
      <c r="O938" s="16"/>
      <c r="P938" s="6">
        <v>41060.926863425928</v>
      </c>
      <c r="Q938" s="12" t="s">
        <v>3303</v>
      </c>
      <c r="R938" s="17" t="s">
        <v>3305</v>
      </c>
      <c r="S938" s="13" t="s">
        <v>3307</v>
      </c>
      <c r="T938" s="11"/>
      <c r="U938" s="10" t="str">
        <f>HYPERLINK("https://pbs.twimg.com/profile_images/1026256133030330369/TI5sDfJ1.jpg","View")</f>
        <v>View</v>
      </c>
    </row>
    <row r="939" spans="1:21" ht="20.399999999999999">
      <c r="A939" s="6">
        <v>43440.431122685186</v>
      </c>
      <c r="B939" s="7" t="str">
        <f>HYPERLINK("https://twitter.com/yamahatricker","@yamahatricker")</f>
        <v>@yamahatricker</v>
      </c>
      <c r="C939" s="8" t="s">
        <v>3941</v>
      </c>
      <c r="D939" s="9" t="s">
        <v>3942</v>
      </c>
      <c r="E939" s="10" t="str">
        <f>HYPERLINK("https://twitter.com/yamahatricker/status/1070608994190934017","1070608994190934017")</f>
        <v>1070608994190934017</v>
      </c>
      <c r="F939" s="13" t="s">
        <v>1927</v>
      </c>
      <c r="G939" s="11"/>
      <c r="H939" s="11"/>
      <c r="I939" s="14">
        <v>0</v>
      </c>
      <c r="J939" s="14">
        <v>0</v>
      </c>
      <c r="K939" s="15" t="str">
        <f>HYPERLINK("https://www.google.com/","Google")</f>
        <v>Google</v>
      </c>
      <c r="L939" s="14">
        <v>19</v>
      </c>
      <c r="M939" s="14">
        <v>12</v>
      </c>
      <c r="N939" s="14">
        <v>0</v>
      </c>
      <c r="O939" s="16"/>
      <c r="P939" s="6">
        <v>41005.774675925924</v>
      </c>
      <c r="Q939" s="12" t="s">
        <v>3943</v>
      </c>
      <c r="R939" s="18"/>
      <c r="S939" s="13" t="s">
        <v>3944</v>
      </c>
      <c r="T939" s="11"/>
      <c r="U939" s="10" t="str">
        <f>HYPERLINK("https://pbs.twimg.com/profile_images/2830406123/4def39e2761a1a39b690e7b168c0567e.png","View")</f>
        <v>View</v>
      </c>
    </row>
    <row r="940" spans="1:21" ht="81.599999999999994">
      <c r="A940" s="6">
        <v>43440.430729166663</v>
      </c>
      <c r="B940" s="7" t="str">
        <f>HYPERLINK("https://twitter.com/smarttcom","@smarttcom")</f>
        <v>@smarttcom</v>
      </c>
      <c r="C940" s="8" t="s">
        <v>3309</v>
      </c>
      <c r="D940" s="9" t="s">
        <v>3310</v>
      </c>
      <c r="E940" s="10" t="str">
        <f>HYPERLINK("https://twitter.com/smarttcom/status/1070608849072201728","1070608849072201728")</f>
        <v>1070608849072201728</v>
      </c>
      <c r="F940" s="13" t="s">
        <v>2056</v>
      </c>
      <c r="G940" s="13" t="s">
        <v>2057</v>
      </c>
      <c r="H940" s="11"/>
      <c r="I940" s="14">
        <v>1</v>
      </c>
      <c r="J940" s="14">
        <v>0</v>
      </c>
      <c r="K940" s="15" t="str">
        <f>HYPERLINK("http://twitter.com/download/android","Twitter for Android")</f>
        <v>Twitter for Android</v>
      </c>
      <c r="L940" s="14">
        <v>3030</v>
      </c>
      <c r="M940" s="14">
        <v>4994</v>
      </c>
      <c r="N940" s="14">
        <v>52</v>
      </c>
      <c r="O940" s="16"/>
      <c r="P940" s="6">
        <v>40532.785752314812</v>
      </c>
      <c r="Q940" s="11"/>
      <c r="R940" s="17" t="s">
        <v>3312</v>
      </c>
      <c r="S940" s="11"/>
      <c r="T940" s="11"/>
      <c r="U940" s="10" t="str">
        <f>HYPERLINK("https://pbs.twimg.com/profile_images/1070363232005709824/bbC5E6s9.jpg","View")</f>
        <v>View</v>
      </c>
    </row>
    <row r="941" spans="1:21" ht="30.6">
      <c r="A941" s="6">
        <v>43440.425856481481</v>
      </c>
      <c r="B941" s="7" t="str">
        <f>HYPERLINK("https://twitter.com/bravo_escoto_P","@bravo_escoto_P")</f>
        <v>@bravo_escoto_P</v>
      </c>
      <c r="C941" s="8" t="s">
        <v>3949</v>
      </c>
      <c r="D941" s="9" t="s">
        <v>3951</v>
      </c>
      <c r="E941" s="10" t="str">
        <f>HYPERLINK("https://twitter.com/bravo_escoto_P/status/1070607085912686592","1070607085912686592")</f>
        <v>1070607085912686592</v>
      </c>
      <c r="F941" s="13" t="s">
        <v>3952</v>
      </c>
      <c r="G941" s="11"/>
      <c r="H941" s="11"/>
      <c r="I941" s="14">
        <v>0</v>
      </c>
      <c r="J941" s="14">
        <v>0</v>
      </c>
      <c r="K941" s="15" t="str">
        <f t="shared" ref="K941:K942" si="179">HYPERLINK("http://twitter.com/download/iphone","Twitter for iPhone")</f>
        <v>Twitter for iPhone</v>
      </c>
      <c r="L941" s="14">
        <v>127</v>
      </c>
      <c r="M941" s="14">
        <v>838</v>
      </c>
      <c r="N941" s="14">
        <v>1</v>
      </c>
      <c r="O941" s="16"/>
      <c r="P941" s="6">
        <v>42258.715312500004</v>
      </c>
      <c r="Q941" s="12" t="s">
        <v>137</v>
      </c>
      <c r="R941" s="17" t="s">
        <v>3954</v>
      </c>
      <c r="S941" s="11"/>
      <c r="T941" s="11"/>
      <c r="U941" s="10" t="str">
        <f>HYPERLINK("https://pbs.twimg.com/profile_images/642357831652495361/2Dlowhp5.jpg","View")</f>
        <v>View</v>
      </c>
    </row>
    <row r="942" spans="1:21" ht="40.799999999999997">
      <c r="A942" s="6">
        <v>43440.425335648149</v>
      </c>
      <c r="B942" s="7" t="str">
        <f>HYPERLINK("https://twitter.com/PuyolPablo","@PuyolPablo")</f>
        <v>@PuyolPablo</v>
      </c>
      <c r="C942" s="8" t="s">
        <v>3314</v>
      </c>
      <c r="D942" s="9" t="s">
        <v>3315</v>
      </c>
      <c r="E942" s="10" t="str">
        <f>HYPERLINK("https://twitter.com/PuyolPablo/status/1070606894065180672","1070606894065180672")</f>
        <v>1070606894065180672</v>
      </c>
      <c r="F942" s="11"/>
      <c r="G942" s="11"/>
      <c r="H942" s="11"/>
      <c r="I942" s="14">
        <v>0</v>
      </c>
      <c r="J942" s="14">
        <v>0</v>
      </c>
      <c r="K942" s="15" t="str">
        <f t="shared" si="179"/>
        <v>Twitter for iPhone</v>
      </c>
      <c r="L942" s="14">
        <v>88</v>
      </c>
      <c r="M942" s="14">
        <v>322</v>
      </c>
      <c r="N942" s="14">
        <v>0</v>
      </c>
      <c r="O942" s="16"/>
      <c r="P942" s="6">
        <v>41255.907731481479</v>
      </c>
      <c r="Q942" s="11"/>
      <c r="R942" s="18"/>
      <c r="S942" s="11"/>
      <c r="T942" s="11"/>
      <c r="U942" s="10" t="str">
        <f>HYPERLINK("https://pbs.twimg.com/profile_images/1037222569919873024/lmu2o1Ud.jpg","View")</f>
        <v>View</v>
      </c>
    </row>
    <row r="943" spans="1:21" ht="91.8">
      <c r="A943" s="6">
        <v>43440.423437500001</v>
      </c>
      <c r="B943" s="7" t="str">
        <f>HYPERLINK("https://twitter.com/smarttcom","@smarttcom")</f>
        <v>@smarttcom</v>
      </c>
      <c r="C943" s="8" t="s">
        <v>3309</v>
      </c>
      <c r="D943" s="9" t="s">
        <v>3321</v>
      </c>
      <c r="E943" s="10" t="str">
        <f>HYPERLINK("https://twitter.com/smarttcom/status/1070606209084997632","1070606209084997632")</f>
        <v>1070606209084997632</v>
      </c>
      <c r="F943" s="13" t="s">
        <v>2103</v>
      </c>
      <c r="G943" s="13" t="s">
        <v>2105</v>
      </c>
      <c r="H943" s="11"/>
      <c r="I943" s="14">
        <v>0</v>
      </c>
      <c r="J943" s="14">
        <v>0</v>
      </c>
      <c r="K943" s="15" t="str">
        <f>HYPERLINK("http://twitter.com/download/android","Twitter for Android")</f>
        <v>Twitter for Android</v>
      </c>
      <c r="L943" s="14">
        <v>3030</v>
      </c>
      <c r="M943" s="14">
        <v>4994</v>
      </c>
      <c r="N943" s="14">
        <v>52</v>
      </c>
      <c r="O943" s="16"/>
      <c r="P943" s="6">
        <v>40532.785752314812</v>
      </c>
      <c r="Q943" s="11"/>
      <c r="R943" s="17" t="s">
        <v>3312</v>
      </c>
      <c r="S943" s="11"/>
      <c r="T943" s="11"/>
      <c r="U943" s="10" t="str">
        <f>HYPERLINK("https://pbs.twimg.com/profile_images/1070363232005709824/bbC5E6s9.jpg","View")</f>
        <v>View</v>
      </c>
    </row>
    <row r="944" spans="1:21" ht="51">
      <c r="A944" s="6">
        <v>43440.422962962963</v>
      </c>
      <c r="B944" s="7" t="str">
        <f>HYPERLINK("https://twitter.com/CiudadanosCs","@CiudadanosCs")</f>
        <v>@CiudadanosCs</v>
      </c>
      <c r="C944" s="8" t="s">
        <v>489</v>
      </c>
      <c r="D944" s="9" t="s">
        <v>3327</v>
      </c>
      <c r="E944" s="10" t="str">
        <f>HYPERLINK("https://twitter.com/CiudadanosCs/status/1070606034471919616","1070606034471919616")</f>
        <v>1070606034471919616</v>
      </c>
      <c r="F944" s="13" t="s">
        <v>2240</v>
      </c>
      <c r="G944" s="13" t="s">
        <v>3328</v>
      </c>
      <c r="H944" s="11"/>
      <c r="I944" s="14">
        <v>136</v>
      </c>
      <c r="J944" s="14">
        <v>204</v>
      </c>
      <c r="K944" s="15" t="str">
        <f>HYPERLINK("http://twitter.com","Twitter Web Client")</f>
        <v>Twitter Web Client</v>
      </c>
      <c r="L944" s="14">
        <v>490821</v>
      </c>
      <c r="M944" s="14">
        <v>93557</v>
      </c>
      <c r="N944" s="14">
        <v>3338</v>
      </c>
      <c r="O944" s="19" t="s">
        <v>42</v>
      </c>
      <c r="P944" s="6">
        <v>39828.753460648149</v>
      </c>
      <c r="Q944" s="12" t="s">
        <v>137</v>
      </c>
      <c r="R944" s="17" t="s">
        <v>492</v>
      </c>
      <c r="S944" s="13" t="s">
        <v>493</v>
      </c>
      <c r="T944" s="11"/>
      <c r="U944" s="10" t="str">
        <f>HYPERLINK("https://pbs.twimg.com/profile_images/1053554096161075200/1z77_zBZ.jpg","View")</f>
        <v>View</v>
      </c>
    </row>
    <row r="945" spans="1:21" ht="51">
      <c r="A945" s="6">
        <v>43440.422384259262</v>
      </c>
      <c r="B945" s="7" t="str">
        <f>HYPERLINK("https://twitter.com/Jose_Martinez72","@Jose_Martinez72")</f>
        <v>@Jose_Martinez72</v>
      </c>
      <c r="C945" s="8" t="s">
        <v>3285</v>
      </c>
      <c r="D945" s="9" t="s">
        <v>3329</v>
      </c>
      <c r="E945" s="10" t="str">
        <f>HYPERLINK("https://twitter.com/Jose_Martinez72/status/1070605827982143488","1070605827982143488")</f>
        <v>1070605827982143488</v>
      </c>
      <c r="F945" s="11"/>
      <c r="G945" s="13" t="s">
        <v>3289</v>
      </c>
      <c r="H945" s="11"/>
      <c r="I945" s="14">
        <v>4</v>
      </c>
      <c r="J945" s="14">
        <v>5</v>
      </c>
      <c r="K945" s="15" t="str">
        <f>HYPERLINK("http://twitter.com/download/android","Twitter for Android")</f>
        <v>Twitter for Android</v>
      </c>
      <c r="L945" s="14">
        <v>953</v>
      </c>
      <c r="M945" s="14">
        <v>887</v>
      </c>
      <c r="N945" s="14">
        <v>10</v>
      </c>
      <c r="O945" s="16"/>
      <c r="P945" s="6">
        <v>42885.782453703709</v>
      </c>
      <c r="Q945" s="12" t="s">
        <v>969</v>
      </c>
      <c r="R945" s="17" t="s">
        <v>3292</v>
      </c>
      <c r="S945" s="13" t="s">
        <v>3293</v>
      </c>
      <c r="T945" s="11"/>
      <c r="U945" s="10" t="str">
        <f>HYPERLINK("https://pbs.twimg.com/profile_images/1070255843386556416/yQDMZSox.jpg","View")</f>
        <v>View</v>
      </c>
    </row>
    <row r="946" spans="1:21" ht="40.799999999999997">
      <c r="A946" s="6">
        <v>43440.421469907407</v>
      </c>
      <c r="B946" s="7" t="str">
        <f>HYPERLINK("https://twitter.com/mnhinojo","@mnhinojo")</f>
        <v>@mnhinojo</v>
      </c>
      <c r="C946" s="8" t="s">
        <v>3332</v>
      </c>
      <c r="D946" s="9" t="s">
        <v>3333</v>
      </c>
      <c r="E946" s="10" t="str">
        <f>HYPERLINK("https://twitter.com/mnhinojo/status/1070605494342041601","1070605494342041601")</f>
        <v>1070605494342041601</v>
      </c>
      <c r="F946" s="11"/>
      <c r="G946" s="11"/>
      <c r="H946" s="11"/>
      <c r="I946" s="14">
        <v>0</v>
      </c>
      <c r="J946" s="14">
        <v>0</v>
      </c>
      <c r="K946" s="15" t="str">
        <f>HYPERLINK("http://twitter.com/#!/download/ipad","Twitter for iPad")</f>
        <v>Twitter for iPad</v>
      </c>
      <c r="L946" s="14">
        <v>174</v>
      </c>
      <c r="M946" s="14">
        <v>76</v>
      </c>
      <c r="N946" s="14">
        <v>6</v>
      </c>
      <c r="O946" s="16"/>
      <c r="P946" s="6">
        <v>40575.504629629628</v>
      </c>
      <c r="Q946" s="12" t="s">
        <v>137</v>
      </c>
      <c r="R946" s="17" t="s">
        <v>3339</v>
      </c>
      <c r="S946" s="11"/>
      <c r="T946" s="11"/>
      <c r="U946" s="10" t="str">
        <f>HYPERLINK("https://pbs.twimg.com/profile_images/956914662339170305/8ZtKHCDl.jpg","View")</f>
        <v>View</v>
      </c>
    </row>
    <row r="947" spans="1:21" ht="51">
      <c r="A947" s="6">
        <v>43440.420590277776</v>
      </c>
      <c r="B947" s="7" t="str">
        <f>HYPERLINK("https://twitter.com/ElisaReinhard1","@ElisaReinhard1")</f>
        <v>@ElisaReinhard1</v>
      </c>
      <c r="C947" s="8" t="s">
        <v>3340</v>
      </c>
      <c r="D947" s="9" t="s">
        <v>3341</v>
      </c>
      <c r="E947" s="10" t="str">
        <f>HYPERLINK("https://twitter.com/ElisaReinhard1/status/1070605175721730048","1070605175721730048")</f>
        <v>1070605175721730048</v>
      </c>
      <c r="F947" s="12" t="s">
        <v>2437</v>
      </c>
      <c r="G947" s="11"/>
      <c r="H947" s="11"/>
      <c r="I947" s="14">
        <v>0</v>
      </c>
      <c r="J947" s="14">
        <v>3</v>
      </c>
      <c r="K947" s="15" t="str">
        <f>HYPERLINK("https://mobile.twitter.com","Twitter Lite")</f>
        <v>Twitter Lite</v>
      </c>
      <c r="L947" s="14">
        <v>2912</v>
      </c>
      <c r="M947" s="14">
        <v>2169</v>
      </c>
      <c r="N947" s="14">
        <v>3</v>
      </c>
      <c r="O947" s="16"/>
      <c r="P947" s="6">
        <v>41525.536689814813</v>
      </c>
      <c r="Q947" s="12" t="s">
        <v>3345</v>
      </c>
      <c r="R947" s="17" t="s">
        <v>3346</v>
      </c>
      <c r="S947" s="11"/>
      <c r="T947" s="11"/>
      <c r="U947" s="10" t="str">
        <f>HYPERLINK("https://pbs.twimg.com/profile_images/949912683976982528/mreSKjer.jpg","View")</f>
        <v>View</v>
      </c>
    </row>
    <row r="948" spans="1:21" ht="51">
      <c r="A948" s="6">
        <v>43440.420208333337</v>
      </c>
      <c r="B948" s="7" t="str">
        <f>HYPERLINK("https://twitter.com/lextresabogados","@lextresabogados")</f>
        <v>@lextresabogados</v>
      </c>
      <c r="C948" s="8" t="s">
        <v>26</v>
      </c>
      <c r="D948" s="9" t="s">
        <v>3967</v>
      </c>
      <c r="E948" s="10" t="str">
        <f>HYPERLINK("https://twitter.com/lextresabogados/status/1070605036663783425","1070605036663783425")</f>
        <v>1070605036663783425</v>
      </c>
      <c r="F948" s="13" t="s">
        <v>3348</v>
      </c>
      <c r="G948" s="13" t="s">
        <v>3970</v>
      </c>
      <c r="H948" s="11"/>
      <c r="I948" s="14">
        <v>0</v>
      </c>
      <c r="J948" s="14">
        <v>0</v>
      </c>
      <c r="K948" s="15" t="str">
        <f>HYPERLINK("http://35.180.36.179","botize nueva")</f>
        <v>botize nueva</v>
      </c>
      <c r="L948" s="14">
        <v>2912</v>
      </c>
      <c r="M948" s="14">
        <v>3525</v>
      </c>
      <c r="N948" s="14">
        <v>26</v>
      </c>
      <c r="O948" s="16"/>
      <c r="P948" s="6">
        <v>42880.770949074074</v>
      </c>
      <c r="Q948" s="12" t="s">
        <v>35</v>
      </c>
      <c r="R948" s="17" t="s">
        <v>36</v>
      </c>
      <c r="S948" s="13" t="s">
        <v>37</v>
      </c>
      <c r="T948" s="11"/>
      <c r="U948" s="10" t="str">
        <f>HYPERLINK("https://pbs.twimg.com/profile_images/1068056978679898113/YnjKwiVy.jpg","View")</f>
        <v>View</v>
      </c>
    </row>
    <row r="949" spans="1:21" ht="51">
      <c r="A949" s="6">
        <v>43440.419803240744</v>
      </c>
      <c r="B949" s="7" t="str">
        <f>HYPERLINK("https://twitter.com/heraldoes","@heraldoes")</f>
        <v>@heraldoes</v>
      </c>
      <c r="C949" s="8" t="s">
        <v>2584</v>
      </c>
      <c r="D949" s="9" t="s">
        <v>3347</v>
      </c>
      <c r="E949" s="10" t="str">
        <f>HYPERLINK("https://twitter.com/heraldoes/status/1070604889473077249","1070604889473077249")</f>
        <v>1070604889473077249</v>
      </c>
      <c r="F949" s="13" t="s">
        <v>3348</v>
      </c>
      <c r="G949" s="13" t="s">
        <v>3349</v>
      </c>
      <c r="H949" s="11"/>
      <c r="I949" s="14">
        <v>1</v>
      </c>
      <c r="J949" s="14">
        <v>2</v>
      </c>
      <c r="K949" s="15" t="str">
        <f>HYPERLINK("http://dogtrack.es","DogTrack_Oficial")</f>
        <v>DogTrack_Oficial</v>
      </c>
      <c r="L949" s="14">
        <v>145193</v>
      </c>
      <c r="M949" s="14">
        <v>1279</v>
      </c>
      <c r="N949" s="14">
        <v>1924</v>
      </c>
      <c r="O949" s="19" t="s">
        <v>42</v>
      </c>
      <c r="P949" s="6">
        <v>39653.629861111112</v>
      </c>
      <c r="Q949" s="12" t="s">
        <v>2587</v>
      </c>
      <c r="R949" s="17" t="s">
        <v>2588</v>
      </c>
      <c r="S949" s="13" t="s">
        <v>2589</v>
      </c>
      <c r="T949" s="11"/>
      <c r="U949" s="10" t="str">
        <f>HYPERLINK("https://pbs.twimg.com/profile_images/880005509096636418/DLa1QKbl.jpg","View")</f>
        <v>View</v>
      </c>
    </row>
    <row r="950" spans="1:21" ht="20.399999999999999">
      <c r="A950" s="6">
        <v>43440.419594907406</v>
      </c>
      <c r="B950" s="7" t="str">
        <f>HYPERLINK("https://twitter.com/migartua","@migartua")</f>
        <v>@migartua</v>
      </c>
      <c r="C950" s="8" t="s">
        <v>3355</v>
      </c>
      <c r="D950" s="9" t="s">
        <v>3356</v>
      </c>
      <c r="E950" s="10" t="str">
        <f>HYPERLINK("https://twitter.com/migartua/status/1070604814109868032","1070604814109868032")</f>
        <v>1070604814109868032</v>
      </c>
      <c r="F950" s="13" t="s">
        <v>3359</v>
      </c>
      <c r="G950" s="11"/>
      <c r="H950" s="11"/>
      <c r="I950" s="14">
        <v>0</v>
      </c>
      <c r="J950" s="14">
        <v>0</v>
      </c>
      <c r="K950" s="15" t="str">
        <f>HYPERLINK("http://twitter.com","Twitter Web Client")</f>
        <v>Twitter Web Client</v>
      </c>
      <c r="L950" s="14">
        <v>997</v>
      </c>
      <c r="M950" s="14">
        <v>148</v>
      </c>
      <c r="N950" s="14">
        <v>60</v>
      </c>
      <c r="O950" s="16"/>
      <c r="P950" s="6">
        <v>40113.467627314814</v>
      </c>
      <c r="Q950" s="11"/>
      <c r="R950" s="17" t="s">
        <v>3362</v>
      </c>
      <c r="S950" s="11"/>
      <c r="T950" s="11"/>
      <c r="U950" s="10" t="str">
        <f>HYPERLINK("https://pbs.twimg.com/profile_images/2734217543/978b02e5f133c58d3921446bca6596bb.jpeg","View")</f>
        <v>View</v>
      </c>
    </row>
    <row r="951" spans="1:21" ht="51">
      <c r="A951" s="6">
        <v>43440.418113425927</v>
      </c>
      <c r="B951" s="7" t="str">
        <f>HYPERLINK("https://twitter.com/Juanvidmq","@Juanvidmq")</f>
        <v>@Juanvidmq</v>
      </c>
      <c r="C951" s="8" t="s">
        <v>3363</v>
      </c>
      <c r="D951" s="9" t="s">
        <v>3364</v>
      </c>
      <c r="E951" s="10" t="str">
        <f>HYPERLINK("https://twitter.com/Juanvidmq/status/1070604279688429568","1070604279688429568")</f>
        <v>1070604279688429568</v>
      </c>
      <c r="F951" s="11"/>
      <c r="G951" s="11"/>
      <c r="H951" s="11"/>
      <c r="I951" s="14">
        <v>0</v>
      </c>
      <c r="J951" s="14">
        <v>1</v>
      </c>
      <c r="K951" s="15" t="str">
        <f>HYPERLINK("http://twitter.com/download/iphone","Twitter for iPhone")</f>
        <v>Twitter for iPhone</v>
      </c>
      <c r="L951" s="14">
        <v>87</v>
      </c>
      <c r="M951" s="14">
        <v>237</v>
      </c>
      <c r="N951" s="14">
        <v>0</v>
      </c>
      <c r="O951" s="16"/>
      <c r="P951" s="6">
        <v>42726.940694444449</v>
      </c>
      <c r="Q951" s="11"/>
      <c r="R951" s="17" t="s">
        <v>3367</v>
      </c>
      <c r="S951" s="11"/>
      <c r="T951" s="11"/>
      <c r="U951" s="10" t="str">
        <f>HYPERLINK("https://pbs.twimg.com/profile_images/1041631785715728384/_kb4Hsix.jpg","View")</f>
        <v>View</v>
      </c>
    </row>
    <row r="952" spans="1:21" ht="51">
      <c r="A952" s="6">
        <v>43440.41805555555</v>
      </c>
      <c r="B952" s="7" t="str">
        <f>HYPERLINK("https://twitter.com/bitMomentum","@bitMomentum")</f>
        <v>@bitMomentum</v>
      </c>
      <c r="C952" s="8" t="s">
        <v>1889</v>
      </c>
      <c r="D952" s="9" t="s">
        <v>3372</v>
      </c>
      <c r="E952" s="10" t="str">
        <f>HYPERLINK("https://twitter.com/bitMomentum/status/1070604256049291266","1070604256049291266")</f>
        <v>1070604256049291266</v>
      </c>
      <c r="F952" s="11"/>
      <c r="G952" s="11"/>
      <c r="H952" s="11"/>
      <c r="I952" s="14">
        <v>0</v>
      </c>
      <c r="J952" s="14">
        <v>0</v>
      </c>
      <c r="K952" s="15" t="str">
        <f>HYPERLINK("http://www.bitmomentum.com","bitMomentum Bot")</f>
        <v>bitMomentum Bot</v>
      </c>
      <c r="L952" s="14">
        <v>10254</v>
      </c>
      <c r="M952" s="14">
        <v>1059</v>
      </c>
      <c r="N952" s="14">
        <v>263</v>
      </c>
      <c r="O952" s="16"/>
      <c r="P952" s="6">
        <v>41608.667511574073</v>
      </c>
      <c r="Q952" s="11"/>
      <c r="R952" s="17" t="s">
        <v>1897</v>
      </c>
      <c r="S952" s="13" t="s">
        <v>1898</v>
      </c>
      <c r="T952" s="11"/>
      <c r="U952" s="10" t="str">
        <f>HYPERLINK("https://pbs.twimg.com/profile_images/378800000862185241/20ij2H3u.png","View")</f>
        <v>View</v>
      </c>
    </row>
    <row r="953" spans="1:21" ht="30.6">
      <c r="A953" s="6">
        <v>43440.417430555557</v>
      </c>
      <c r="B953" s="7" t="str">
        <f>HYPERLINK("https://twitter.com/J_ParraG","@J_ParraG")</f>
        <v>@J_ParraG</v>
      </c>
      <c r="C953" s="8" t="s">
        <v>3377</v>
      </c>
      <c r="D953" s="9" t="s">
        <v>3378</v>
      </c>
      <c r="E953" s="10" t="str">
        <f>HYPERLINK("https://twitter.com/J_ParraG/status/1070604029653336065","1070604029653336065")</f>
        <v>1070604029653336065</v>
      </c>
      <c r="F953" s="13" t="s">
        <v>3379</v>
      </c>
      <c r="G953" s="11"/>
      <c r="H953" s="11"/>
      <c r="I953" s="14">
        <v>0</v>
      </c>
      <c r="J953" s="14">
        <v>0</v>
      </c>
      <c r="K953" s="15" t="str">
        <f>HYPERLINK("http://twitter.com/download/android","Twitter for Android")</f>
        <v>Twitter for Android</v>
      </c>
      <c r="L953" s="14">
        <v>384</v>
      </c>
      <c r="M953" s="14">
        <v>972</v>
      </c>
      <c r="N953" s="14">
        <v>14</v>
      </c>
      <c r="O953" s="16"/>
      <c r="P953" s="6">
        <v>40918.953576388885</v>
      </c>
      <c r="Q953" s="12" t="s">
        <v>3380</v>
      </c>
      <c r="R953" s="17" t="s">
        <v>3381</v>
      </c>
      <c r="S953" s="11"/>
      <c r="T953" s="11"/>
      <c r="U953" s="10" t="str">
        <f>HYPERLINK("https://pbs.twimg.com/profile_images/1048291555134656513/KPn63Fw4.jpg","View")</f>
        <v>View</v>
      </c>
    </row>
    <row r="954" spans="1:21" ht="51">
      <c r="A954" s="6">
        <v>43440.417361111111</v>
      </c>
      <c r="B954" s="7" t="str">
        <f>HYPERLINK("https://twitter.com/bitMomentum","@bitMomentum")</f>
        <v>@bitMomentum</v>
      </c>
      <c r="C954" s="8" t="s">
        <v>1889</v>
      </c>
      <c r="D954" s="9" t="s">
        <v>3382</v>
      </c>
      <c r="E954" s="10" t="str">
        <f>HYPERLINK("https://twitter.com/bitMomentum/status/1070604004487561216","1070604004487561216")</f>
        <v>1070604004487561216</v>
      </c>
      <c r="F954" s="11"/>
      <c r="G954" s="11"/>
      <c r="H954" s="11"/>
      <c r="I954" s="14">
        <v>0</v>
      </c>
      <c r="J954" s="14">
        <v>0</v>
      </c>
      <c r="K954" s="15" t="str">
        <f>HYPERLINK("http://www.bitmomentum.com","bitMomentum Bot")</f>
        <v>bitMomentum Bot</v>
      </c>
      <c r="L954" s="14">
        <v>10254</v>
      </c>
      <c r="M954" s="14">
        <v>1059</v>
      </c>
      <c r="N954" s="14">
        <v>263</v>
      </c>
      <c r="O954" s="16"/>
      <c r="P954" s="6">
        <v>41608.667511574073</v>
      </c>
      <c r="Q954" s="11"/>
      <c r="R954" s="17" t="s">
        <v>1897</v>
      </c>
      <c r="S954" s="13" t="s">
        <v>1898</v>
      </c>
      <c r="T954" s="11"/>
      <c r="U954" s="10" t="str">
        <f>HYPERLINK("https://pbs.twimg.com/profile_images/378800000862185241/20ij2H3u.png","View")</f>
        <v>View</v>
      </c>
    </row>
    <row r="955" spans="1:21" ht="40.799999999999997">
      <c r="A955" s="6">
        <v>43440.416805555556</v>
      </c>
      <c r="B955" s="7" t="str">
        <f>HYPERLINK("https://twitter.com/cordoba","@cordoba")</f>
        <v>@cordoba</v>
      </c>
      <c r="C955" s="8" t="s">
        <v>3383</v>
      </c>
      <c r="D955" s="9" t="s">
        <v>3384</v>
      </c>
      <c r="E955" s="10" t="str">
        <f>HYPERLINK("https://twitter.com/cordoba/status/1070603802653396992","1070603802653396992")</f>
        <v>1070603802653396992</v>
      </c>
      <c r="F955" s="13" t="s">
        <v>3385</v>
      </c>
      <c r="G955" s="11"/>
      <c r="H955" s="11"/>
      <c r="I955" s="14">
        <v>2</v>
      </c>
      <c r="J955" s="14">
        <v>0</v>
      </c>
      <c r="K955" s="15" t="str">
        <f>HYPERLINK("https://www.hootsuite.com","Hootsuite Inc.")</f>
        <v>Hootsuite Inc.</v>
      </c>
      <c r="L955" s="14">
        <v>73122</v>
      </c>
      <c r="M955" s="14">
        <v>699</v>
      </c>
      <c r="N955" s="14">
        <v>716</v>
      </c>
      <c r="O955" s="19" t="s">
        <v>42</v>
      </c>
      <c r="P955" s="6">
        <v>40839.819733796292</v>
      </c>
      <c r="Q955" s="12" t="s">
        <v>3386</v>
      </c>
      <c r="R955" s="17" t="s">
        <v>3387</v>
      </c>
      <c r="S955" s="13" t="s">
        <v>3388</v>
      </c>
      <c r="T955" s="11"/>
      <c r="U955" s="10" t="str">
        <f>HYPERLINK("https://pbs.twimg.com/profile_images/923129201661763584/FaXcJ3Xz.jpg","View")</f>
        <v>View</v>
      </c>
    </row>
    <row r="956" spans="1:21" ht="20.399999999999999">
      <c r="A956" s="6">
        <v>43440.416469907403</v>
      </c>
      <c r="B956" s="7" t="str">
        <f>HYPERLINK("https://twitter.com/Armandhrz","@Armandhrz")</f>
        <v>@Armandhrz</v>
      </c>
      <c r="C956" s="8" t="s">
        <v>3989</v>
      </c>
      <c r="D956" s="9" t="s">
        <v>3888</v>
      </c>
      <c r="E956" s="10" t="str">
        <f>HYPERLINK("https://twitter.com/Armandhrz/status/1070603681966383104","1070603681966383104")</f>
        <v>1070603681966383104</v>
      </c>
      <c r="F956" s="13" t="s">
        <v>3992</v>
      </c>
      <c r="G956" s="13" t="s">
        <v>3993</v>
      </c>
      <c r="H956" s="11"/>
      <c r="I956" s="14">
        <v>0</v>
      </c>
      <c r="J956" s="14">
        <v>0</v>
      </c>
      <c r="K956" s="15" t="str">
        <f>HYPERLINK("https://dlvrit.com/","dlvr.it")</f>
        <v>dlvr.it</v>
      </c>
      <c r="L956" s="14">
        <v>626</v>
      </c>
      <c r="M956" s="14">
        <v>712</v>
      </c>
      <c r="N956" s="14">
        <v>3</v>
      </c>
      <c r="O956" s="16"/>
      <c r="P956" s="6">
        <v>41327.836504629631</v>
      </c>
      <c r="Q956" s="12" t="s">
        <v>1997</v>
      </c>
      <c r="R956" s="17" t="s">
        <v>3994</v>
      </c>
      <c r="S956" s="11"/>
      <c r="T956" s="11"/>
      <c r="U956" s="10" t="str">
        <f>HYPERLINK("https://pbs.twimg.com/profile_images/3292922487/3a306f868a04411cb20cddcfc4950ed6.jpeg","View")</f>
        <v>View</v>
      </c>
    </row>
    <row r="957" spans="1:21" ht="20.399999999999999">
      <c r="A957" s="6">
        <v>43440.415821759263</v>
      </c>
      <c r="B957" s="7" t="str">
        <f>HYPERLINK("https://twitter.com/sarafernandezcs","@sarafernandezcs")</f>
        <v>@sarafernandezcs</v>
      </c>
      <c r="C957" s="8" t="s">
        <v>3998</v>
      </c>
      <c r="D957" s="9" t="s">
        <v>3441</v>
      </c>
      <c r="E957" s="10" t="str">
        <f>HYPERLINK("https://twitter.com/sarafernandezcs/status/1070603449652404224","1070603449652404224")</f>
        <v>1070603449652404224</v>
      </c>
      <c r="F957" s="13" t="s">
        <v>3443</v>
      </c>
      <c r="G957" s="11"/>
      <c r="H957" s="11"/>
      <c r="I957" s="14">
        <v>4</v>
      </c>
      <c r="J957" s="14">
        <v>5</v>
      </c>
      <c r="K957" s="15" t="str">
        <f t="shared" ref="K957:K958" si="180">HYPERLINK("http://twitter.com/download/android","Twitter for Android")</f>
        <v>Twitter for Android</v>
      </c>
      <c r="L957" s="14">
        <v>1746</v>
      </c>
      <c r="M957" s="14">
        <v>1120</v>
      </c>
      <c r="N957" s="14">
        <v>30</v>
      </c>
      <c r="O957" s="16"/>
      <c r="P957" s="6">
        <v>41367.428032407406</v>
      </c>
      <c r="Q957" s="11"/>
      <c r="R957" s="17" t="s">
        <v>4002</v>
      </c>
      <c r="S957" s="11"/>
      <c r="T957" s="11"/>
      <c r="U957" s="10" t="str">
        <f>HYPERLINK("https://pbs.twimg.com/profile_images/1012604640293253120/x0oB30c5.jpg","View")</f>
        <v>View</v>
      </c>
    </row>
    <row r="958" spans="1:21" ht="40.799999999999997">
      <c r="A958" s="6">
        <v>43440.411643518513</v>
      </c>
      <c r="B958" s="7" t="str">
        <f>HYPERLINK("https://twitter.com/rosalcoy","@rosalcoy")</f>
        <v>@rosalcoy</v>
      </c>
      <c r="C958" s="8" t="s">
        <v>3389</v>
      </c>
      <c r="D958" s="9" t="s">
        <v>3390</v>
      </c>
      <c r="E958" s="10" t="str">
        <f>HYPERLINK("https://twitter.com/rosalcoy/status/1070601933675728896","1070601933675728896")</f>
        <v>1070601933675728896</v>
      </c>
      <c r="F958" s="11"/>
      <c r="G958" s="13" t="s">
        <v>3391</v>
      </c>
      <c r="H958" s="11"/>
      <c r="I958" s="14">
        <v>2</v>
      </c>
      <c r="J958" s="14">
        <v>5</v>
      </c>
      <c r="K958" s="15" t="str">
        <f t="shared" si="180"/>
        <v>Twitter for Android</v>
      </c>
      <c r="L958" s="14">
        <v>1384</v>
      </c>
      <c r="M958" s="14">
        <v>906</v>
      </c>
      <c r="N958" s="14">
        <v>25</v>
      </c>
      <c r="O958" s="16"/>
      <c r="P958" s="6">
        <v>40869.777881944443</v>
      </c>
      <c r="Q958" s="12" t="s">
        <v>3394</v>
      </c>
      <c r="R958" s="17" t="s">
        <v>3395</v>
      </c>
      <c r="S958" s="11"/>
      <c r="T958" s="11"/>
      <c r="U958" s="10" t="str">
        <f>HYPERLINK("https://pbs.twimg.com/profile_images/737873541320839168/sYDBuuev.jpg","View")</f>
        <v>View</v>
      </c>
    </row>
    <row r="959" spans="1:21" ht="40.799999999999997">
      <c r="A959" s="6">
        <v>43440.409166666665</v>
      </c>
      <c r="B959" s="7" t="str">
        <f>HYPERLINK("https://twitter.com/LMariaca","@LMariaca")</f>
        <v>@LMariaca</v>
      </c>
      <c r="C959" s="8" t="s">
        <v>3398</v>
      </c>
      <c r="D959" s="9" t="s">
        <v>3399</v>
      </c>
      <c r="E959" s="10" t="str">
        <f>HYPERLINK("https://twitter.com/LMariaca/status/1070601034630946816","1070601034630946816")</f>
        <v>1070601034630946816</v>
      </c>
      <c r="F959" s="11"/>
      <c r="G959" s="11"/>
      <c r="H959" s="11"/>
      <c r="I959" s="14">
        <v>4</v>
      </c>
      <c r="J959" s="14">
        <v>2</v>
      </c>
      <c r="K959" s="15" t="str">
        <f t="shared" ref="K959:K960" si="181">HYPERLINK("http://twitter.com/download/iphone","Twitter for iPhone")</f>
        <v>Twitter for iPhone</v>
      </c>
      <c r="L959" s="14">
        <v>2716</v>
      </c>
      <c r="M959" s="14">
        <v>5002</v>
      </c>
      <c r="N959" s="14">
        <v>15</v>
      </c>
      <c r="O959" s="16"/>
      <c r="P959" s="6">
        <v>40753.427453703705</v>
      </c>
      <c r="Q959" s="11"/>
      <c r="R959" s="17" t="s">
        <v>3400</v>
      </c>
      <c r="S959" s="11"/>
      <c r="T959" s="11"/>
      <c r="U959" s="10" t="str">
        <f>HYPERLINK("https://pbs.twimg.com/profile_images/963092667323338752/F4sU2a4U.jpg","View")</f>
        <v>View</v>
      </c>
    </row>
    <row r="960" spans="1:21" ht="40.799999999999997">
      <c r="A960" s="6">
        <v>43440.408877314811</v>
      </c>
      <c r="B960" s="7" t="str">
        <f>HYPERLINK("https://twitter.com/ManoloCabrera4","@ManoloCabrera4")</f>
        <v>@ManoloCabrera4</v>
      </c>
      <c r="C960" s="8" t="s">
        <v>3401</v>
      </c>
      <c r="D960" s="9" t="s">
        <v>3402</v>
      </c>
      <c r="E960" s="10" t="str">
        <f>HYPERLINK("https://twitter.com/ManoloCabrera4/status/1070600929358069761","1070600929358069761")</f>
        <v>1070600929358069761</v>
      </c>
      <c r="F960" s="11"/>
      <c r="G960" s="13" t="s">
        <v>3403</v>
      </c>
      <c r="H960" s="11"/>
      <c r="I960" s="14">
        <v>0</v>
      </c>
      <c r="J960" s="14">
        <v>0</v>
      </c>
      <c r="K960" s="15" t="str">
        <f t="shared" si="181"/>
        <v>Twitter for iPhone</v>
      </c>
      <c r="L960" s="14">
        <v>49</v>
      </c>
      <c r="M960" s="14">
        <v>139</v>
      </c>
      <c r="N960" s="14">
        <v>0</v>
      </c>
      <c r="O960" s="16"/>
      <c r="P960" s="6">
        <v>42835.685729166667</v>
      </c>
      <c r="Q960" s="12" t="s">
        <v>187</v>
      </c>
      <c r="R960" s="17" t="s">
        <v>3404</v>
      </c>
      <c r="S960" s="11"/>
      <c r="T960" s="11"/>
      <c r="U960" s="10" t="str">
        <f>HYPERLINK("https://pbs.twimg.com/profile_images/876784175797456896/41X64PEC.jpg","View")</f>
        <v>View</v>
      </c>
    </row>
    <row r="961" spans="1:21" ht="30.6">
      <c r="A961" s="6">
        <v>43440.407743055555</v>
      </c>
      <c r="B961" s="7" t="str">
        <f>HYPERLINK("https://twitter.com/SimpatizNaranja","@SimpatizNaranja")</f>
        <v>@SimpatizNaranja</v>
      </c>
      <c r="C961" s="8" t="s">
        <v>3405</v>
      </c>
      <c r="D961" s="9" t="s">
        <v>3406</v>
      </c>
      <c r="E961" s="10" t="str">
        <f>HYPERLINK("https://twitter.com/SimpatizNaranja/status/1070600522338631681","1070600522338631681")</f>
        <v>1070600522338631681</v>
      </c>
      <c r="F961" s="13" t="s">
        <v>3407</v>
      </c>
      <c r="G961" s="11"/>
      <c r="H961" s="11"/>
      <c r="I961" s="14">
        <v>0</v>
      </c>
      <c r="J961" s="14">
        <v>1</v>
      </c>
      <c r="K961" s="15" t="str">
        <f>HYPERLINK("http://twitter.com/download/android","Twitter for Android")</f>
        <v>Twitter for Android</v>
      </c>
      <c r="L961" s="14">
        <v>189</v>
      </c>
      <c r="M961" s="14">
        <v>175</v>
      </c>
      <c r="N961" s="14">
        <v>3</v>
      </c>
      <c r="O961" s="16"/>
      <c r="P961" s="6">
        <v>41075.594270833331</v>
      </c>
      <c r="Q961" s="12" t="s">
        <v>231</v>
      </c>
      <c r="R961" s="17" t="s">
        <v>3408</v>
      </c>
      <c r="S961" s="11"/>
      <c r="T961" s="11"/>
      <c r="U961" s="10" t="str">
        <f>HYPERLINK("https://pbs.twimg.com/profile_images/1063162477159108609/sBoxVOxc.jpg","View")</f>
        <v>View</v>
      </c>
    </row>
    <row r="962" spans="1:21" ht="20.399999999999999">
      <c r="A962" s="6">
        <v>43440.405624999999</v>
      </c>
      <c r="B962" s="7" t="str">
        <f>HYPERLINK("https://twitter.com/Eugenio63098874","@Eugenio63098874")</f>
        <v>@Eugenio63098874</v>
      </c>
      <c r="C962" s="8" t="s">
        <v>4011</v>
      </c>
      <c r="D962" s="9" t="s">
        <v>3351</v>
      </c>
      <c r="E962" s="10" t="str">
        <f>HYPERLINK("https://twitter.com/Eugenio63098874/status/1070599752956436480","1070599752956436480")</f>
        <v>1070599752956436480</v>
      </c>
      <c r="F962" s="13" t="s">
        <v>2240</v>
      </c>
      <c r="G962" s="11"/>
      <c r="H962" s="11"/>
      <c r="I962" s="14">
        <v>0</v>
      </c>
      <c r="J962" s="14">
        <v>0</v>
      </c>
      <c r="K962" s="15" t="str">
        <f>HYPERLINK("http://twitter.com","Twitter Web Client")</f>
        <v>Twitter Web Client</v>
      </c>
      <c r="L962" s="14">
        <v>26</v>
      </c>
      <c r="M962" s="14">
        <v>322</v>
      </c>
      <c r="N962" s="14">
        <v>0</v>
      </c>
      <c r="O962" s="16"/>
      <c r="P962" s="6">
        <v>43189.665138888886</v>
      </c>
      <c r="Q962" s="11"/>
      <c r="R962" s="18"/>
      <c r="S962" s="11"/>
      <c r="T962" s="11"/>
      <c r="U962" s="10" t="str">
        <f>HYPERLINK("https://pbs.twimg.com/profile_images/1044637518631710720/L1M74q26.jpg","View")</f>
        <v>View</v>
      </c>
    </row>
    <row r="963" spans="1:21" ht="51">
      <c r="A963" s="6">
        <v>43440.404050925921</v>
      </c>
      <c r="B963" s="7" t="str">
        <f>HYPERLINK("https://twitter.com/VicenteNicolauM","@VicenteNicolauM")</f>
        <v>@VicenteNicolauM</v>
      </c>
      <c r="C963" s="8" t="s">
        <v>3409</v>
      </c>
      <c r="D963" s="9" t="s">
        <v>3410</v>
      </c>
      <c r="E963" s="10" t="str">
        <f>HYPERLINK("https://twitter.com/VicenteNicolauM/status/1070599182254309376","1070599182254309376")</f>
        <v>1070599182254309376</v>
      </c>
      <c r="F963" s="11"/>
      <c r="G963" s="11"/>
      <c r="H963" s="11"/>
      <c r="I963" s="14">
        <v>0</v>
      </c>
      <c r="J963" s="14">
        <v>0</v>
      </c>
      <c r="K963" s="15" t="str">
        <f t="shared" ref="K963:K965" si="182">HYPERLINK("http://twitter.com/download/iphone","Twitter for iPhone")</f>
        <v>Twitter for iPhone</v>
      </c>
      <c r="L963" s="14">
        <v>5</v>
      </c>
      <c r="M963" s="14">
        <v>72</v>
      </c>
      <c r="N963" s="14">
        <v>0</v>
      </c>
      <c r="O963" s="16"/>
      <c r="P963" s="6">
        <v>43179.749710648146</v>
      </c>
      <c r="Q963" s="11"/>
      <c r="R963" s="18"/>
      <c r="S963" s="11"/>
      <c r="T963" s="11"/>
      <c r="U963" s="10" t="str">
        <f>HYPERLINK("https://pbs.twimg.com/profile_images/978336977396404226/gUd1dpHh.jpg","View")</f>
        <v>View</v>
      </c>
    </row>
    <row r="964" spans="1:21" ht="30.6">
      <c r="A964" s="6">
        <v>43440.403032407412</v>
      </c>
      <c r="B964" s="7" t="str">
        <f>HYPERLINK("https://twitter.com/ConsuG64","@ConsuG64")</f>
        <v>@ConsuG64</v>
      </c>
      <c r="C964" s="8" t="s">
        <v>4017</v>
      </c>
      <c r="D964" s="9" t="s">
        <v>4018</v>
      </c>
      <c r="E964" s="10" t="str">
        <f>HYPERLINK("https://twitter.com/ConsuG64/status/1070598812996116480","1070598812996116480")</f>
        <v>1070598812996116480</v>
      </c>
      <c r="F964" s="13" t="s">
        <v>2517</v>
      </c>
      <c r="G964" s="11"/>
      <c r="H964" s="11"/>
      <c r="I964" s="14">
        <v>1</v>
      </c>
      <c r="J964" s="14">
        <v>0</v>
      </c>
      <c r="K964" s="15" t="str">
        <f t="shared" si="182"/>
        <v>Twitter for iPhone</v>
      </c>
      <c r="L964" s="14">
        <v>2796</v>
      </c>
      <c r="M964" s="14">
        <v>1965</v>
      </c>
      <c r="N964" s="14">
        <v>22</v>
      </c>
      <c r="O964" s="16"/>
      <c r="P964" s="6">
        <v>40612.874768518523</v>
      </c>
      <c r="Q964" s="12" t="s">
        <v>3810</v>
      </c>
      <c r="R964" s="17" t="s">
        <v>4021</v>
      </c>
      <c r="S964" s="13" t="s">
        <v>4022</v>
      </c>
      <c r="T964" s="11"/>
      <c r="U964" s="10" t="str">
        <f>HYPERLINK("https://pbs.twimg.com/profile_images/1054046008735420417/OmdbLQcI.jpg","View")</f>
        <v>View</v>
      </c>
    </row>
    <row r="965" spans="1:21" ht="40.799999999999997">
      <c r="A965" s="6">
        <v>43440.401192129633</v>
      </c>
      <c r="B965" s="7" t="str">
        <f>HYPERLINK("https://twitter.com/TKyd_Official","@TKyd_Official")</f>
        <v>@TKyd_Official</v>
      </c>
      <c r="C965" s="8" t="s">
        <v>3411</v>
      </c>
      <c r="D965" s="9" t="s">
        <v>3412</v>
      </c>
      <c r="E965" s="10" t="str">
        <f>HYPERLINK("https://twitter.com/TKyd_Official/status/1070598146709966848","1070598146709966848")</f>
        <v>1070598146709966848</v>
      </c>
      <c r="F965" s="11"/>
      <c r="G965" s="11"/>
      <c r="H965" s="11"/>
      <c r="I965" s="14">
        <v>1</v>
      </c>
      <c r="J965" s="14">
        <v>2</v>
      </c>
      <c r="K965" s="15" t="str">
        <f t="shared" si="182"/>
        <v>Twitter for iPhone</v>
      </c>
      <c r="L965" s="14">
        <v>126</v>
      </c>
      <c r="M965" s="14">
        <v>233</v>
      </c>
      <c r="N965" s="14">
        <v>2</v>
      </c>
      <c r="O965" s="16"/>
      <c r="P965" s="6">
        <v>40418.504421296297</v>
      </c>
      <c r="Q965" s="11"/>
      <c r="R965" s="17" t="s">
        <v>3415</v>
      </c>
      <c r="S965" s="11"/>
      <c r="T965" s="11"/>
      <c r="U965" s="10" t="str">
        <f>HYPERLINK("https://pbs.twimg.com/profile_images/526064399392718848/EcsrJN2x.jpeg","View")</f>
        <v>View</v>
      </c>
    </row>
    <row r="966" spans="1:21" ht="20.399999999999999">
      <c r="A966" s="6">
        <v>43440.401076388887</v>
      </c>
      <c r="B966" s="7" t="str">
        <f>HYPERLINK("https://twitter.com/lygofukisoby","@lygofukisoby")</f>
        <v>@lygofukisoby</v>
      </c>
      <c r="C966" s="8" t="s">
        <v>3509</v>
      </c>
      <c r="D966" s="9" t="s">
        <v>3951</v>
      </c>
      <c r="E966" s="10" t="str">
        <f>HYPERLINK("https://twitter.com/lygofukisoby/status/1070598103554764806","1070598103554764806")</f>
        <v>1070598103554764806</v>
      </c>
      <c r="F966" s="11"/>
      <c r="G966" s="13" t="s">
        <v>4025</v>
      </c>
      <c r="H966" s="11"/>
      <c r="I966" s="14">
        <v>0</v>
      </c>
      <c r="J966" s="14">
        <v>0</v>
      </c>
      <c r="K966" s="15" t="str">
        <f>HYPERLINK("https://ifttt.com","IFTTT")</f>
        <v>IFTTT</v>
      </c>
      <c r="L966" s="14">
        <v>52</v>
      </c>
      <c r="M966" s="14">
        <v>79</v>
      </c>
      <c r="N966" s="14">
        <v>3</v>
      </c>
      <c r="O966" s="16"/>
      <c r="P966" s="6">
        <v>41706.167800925927</v>
      </c>
      <c r="Q966" s="12" t="s">
        <v>3514</v>
      </c>
      <c r="R966" s="17" t="s">
        <v>3516</v>
      </c>
      <c r="S966" s="11"/>
      <c r="T966" s="11"/>
      <c r="U966" s="10" t="str">
        <f>HYPERLINK("https://pbs.twimg.com/profile_images/456020719474733056/_aI4ObiR.jpeg","View")</f>
        <v>View</v>
      </c>
    </row>
    <row r="967" spans="1:21" ht="71.400000000000006">
      <c r="A967" s="6">
        <v>43440.400729166664</v>
      </c>
      <c r="B967" s="7" t="str">
        <f>HYPERLINK("https://twitter.com/ciudadanoJJ","@ciudadanoJJ")</f>
        <v>@ciudadanoJJ</v>
      </c>
      <c r="C967" s="8" t="s">
        <v>3420</v>
      </c>
      <c r="D967" s="9" t="s">
        <v>3421</v>
      </c>
      <c r="E967" s="10" t="str">
        <f>HYPERLINK("https://twitter.com/ciudadanoJJ/status/1070597979445358592","1070597979445358592")</f>
        <v>1070597979445358592</v>
      </c>
      <c r="F967" s="12" t="s">
        <v>3422</v>
      </c>
      <c r="G967" s="11"/>
      <c r="H967" s="11"/>
      <c r="I967" s="14">
        <v>0</v>
      </c>
      <c r="J967" s="14">
        <v>0</v>
      </c>
      <c r="K967" s="15" t="str">
        <f>HYPERLINK("http://twitter.com/download/iphone","Twitter for iPhone")</f>
        <v>Twitter for iPhone</v>
      </c>
      <c r="L967" s="14">
        <v>1016</v>
      </c>
      <c r="M967" s="14">
        <v>617</v>
      </c>
      <c r="N967" s="14">
        <v>10</v>
      </c>
      <c r="O967" s="16"/>
      <c r="P967" s="6">
        <v>42115.218900462962</v>
      </c>
      <c r="Q967" s="12" t="s">
        <v>3423</v>
      </c>
      <c r="R967" s="17" t="s">
        <v>3424</v>
      </c>
      <c r="S967" s="11"/>
      <c r="T967" s="11"/>
      <c r="U967" s="10" t="str">
        <f>HYPERLINK("https://pbs.twimg.com/profile_images/1030600077688102912/lRbkSh5w.jpg","View")</f>
        <v>View</v>
      </c>
    </row>
    <row r="968" spans="1:21" ht="40.799999999999997">
      <c r="A968" s="6">
        <v>43440.400694444441</v>
      </c>
      <c r="B968" s="7" t="str">
        <f>HYPERLINK("https://twitter.com/marisol_bcn69","@marisol_bcn69")</f>
        <v>@marisol_bcn69</v>
      </c>
      <c r="C968" s="8" t="s">
        <v>3427</v>
      </c>
      <c r="D968" s="9" t="s">
        <v>3428</v>
      </c>
      <c r="E968" s="10" t="str">
        <f>HYPERLINK("https://twitter.com/marisol_bcn69/status/1070597965608349696","1070597965608349696")</f>
        <v>1070597965608349696</v>
      </c>
      <c r="F968" s="13" t="s">
        <v>1838</v>
      </c>
      <c r="G968" s="11"/>
      <c r="H968" s="11"/>
      <c r="I968" s="14">
        <v>0</v>
      </c>
      <c r="J968" s="14">
        <v>0</v>
      </c>
      <c r="K968" s="15" t="str">
        <f>HYPERLINK("http://twitter.com/download/android","Twitter for Android")</f>
        <v>Twitter for Android</v>
      </c>
      <c r="L968" s="14">
        <v>3600</v>
      </c>
      <c r="M968" s="14">
        <v>5001</v>
      </c>
      <c r="N968" s="14">
        <v>506</v>
      </c>
      <c r="O968" s="16"/>
      <c r="P968" s="6">
        <v>40493.397604166668</v>
      </c>
      <c r="Q968" s="12" t="s">
        <v>3433</v>
      </c>
      <c r="R968" s="17" t="s">
        <v>3434</v>
      </c>
      <c r="S968" s="11"/>
      <c r="T968" s="11"/>
      <c r="U968" s="10" t="str">
        <f>HYPERLINK("https://pbs.twimg.com/profile_images/1026159971191410690/pwGx4flH.jpg","View")</f>
        <v>View</v>
      </c>
    </row>
    <row r="969" spans="1:21" ht="20.399999999999999">
      <c r="A969" s="6">
        <v>43440.396574074075</v>
      </c>
      <c r="B969" s="7" t="str">
        <f>HYPERLINK("https://twitter.com/NoticieroUniv","@NoticieroUniv")</f>
        <v>@NoticieroUniv</v>
      </c>
      <c r="C969" s="8" t="s">
        <v>4032</v>
      </c>
      <c r="D969" s="9" t="s">
        <v>4033</v>
      </c>
      <c r="E969" s="10" t="str">
        <f>HYPERLINK("https://twitter.com/NoticieroUniv/status/1070596472750686209","1070596472750686209")</f>
        <v>1070596472750686209</v>
      </c>
      <c r="F969" s="13" t="s">
        <v>4034</v>
      </c>
      <c r="G969" s="13" t="s">
        <v>4035</v>
      </c>
      <c r="H969" s="11"/>
      <c r="I969" s="14">
        <v>0</v>
      </c>
      <c r="J969" s="14">
        <v>0</v>
      </c>
      <c r="K969" s="15" t="str">
        <f>HYPERLINK("https://noticierouniversal.com/","NoticieroUniversal")</f>
        <v>NoticieroUniversal</v>
      </c>
      <c r="L969" s="14">
        <v>836</v>
      </c>
      <c r="M969" s="14">
        <v>36</v>
      </c>
      <c r="N969" s="14">
        <v>21</v>
      </c>
      <c r="O969" s="16"/>
      <c r="P969" s="6">
        <v>42402.547939814816</v>
      </c>
      <c r="Q969" s="12" t="s">
        <v>1785</v>
      </c>
      <c r="R969" s="17" t="s">
        <v>4037</v>
      </c>
      <c r="S969" s="13" t="s">
        <v>4038</v>
      </c>
      <c r="T969" s="11"/>
      <c r="U969" s="10" t="str">
        <f>HYPERLINK("https://pbs.twimg.com/profile_images/719648419925594113/OnR0XNMn.jpg","View")</f>
        <v>View</v>
      </c>
    </row>
    <row r="970" spans="1:21" ht="20.399999999999999">
      <c r="A970" s="6">
        <v>43440.396481481483</v>
      </c>
      <c r="B970" s="7" t="str">
        <f>HYPERLINK("https://twitter.com/Quibonofacite","@Quibonofacite")</f>
        <v>@Quibonofacite</v>
      </c>
      <c r="C970" s="8" t="s">
        <v>4041</v>
      </c>
      <c r="D970" s="9" t="s">
        <v>4042</v>
      </c>
      <c r="E970" s="10" t="str">
        <f>HYPERLINK("https://twitter.com/Quibonofacite/status/1070596440353837057","1070596440353837057")</f>
        <v>1070596440353837057</v>
      </c>
      <c r="F970" s="11"/>
      <c r="G970" s="11"/>
      <c r="H970" s="11"/>
      <c r="I970" s="14">
        <v>0</v>
      </c>
      <c r="J970" s="14">
        <v>0</v>
      </c>
      <c r="K970" s="15" t="str">
        <f t="shared" ref="K970:K972" si="183">HYPERLINK("http://twitter.com","Twitter Web Client")</f>
        <v>Twitter Web Client</v>
      </c>
      <c r="L970" s="14">
        <v>110</v>
      </c>
      <c r="M970" s="14">
        <v>617</v>
      </c>
      <c r="N970" s="14">
        <v>1</v>
      </c>
      <c r="O970" s="16"/>
      <c r="P970" s="6">
        <v>43025.386215277773</v>
      </c>
      <c r="Q970" s="12" t="s">
        <v>4045</v>
      </c>
      <c r="R970" s="17" t="s">
        <v>4046</v>
      </c>
      <c r="S970" s="11"/>
      <c r="T970" s="11"/>
      <c r="U970" s="10" t="str">
        <f>HYPERLINK("https://pbs.twimg.com/profile_images/1029629400537542656/f9i0HUbw.jpg","View")</f>
        <v>View</v>
      </c>
    </row>
    <row r="971" spans="1:21" ht="40.799999999999997">
      <c r="A971" s="6">
        <v>43440.396377314813</v>
      </c>
      <c r="B971" s="7" t="str">
        <f>HYPERLINK("https://twitter.com/carlos_trullen","@carlos_trullen")</f>
        <v>@carlos_trullen</v>
      </c>
      <c r="C971" s="8" t="s">
        <v>4048</v>
      </c>
      <c r="D971" s="9" t="s">
        <v>4049</v>
      </c>
      <c r="E971" s="10" t="str">
        <f>HYPERLINK("https://twitter.com/carlos_trullen/status/1070596400356974597","1070596400356974597")</f>
        <v>1070596400356974597</v>
      </c>
      <c r="F971" s="13" t="s">
        <v>4050</v>
      </c>
      <c r="G971" s="11"/>
      <c r="H971" s="11"/>
      <c r="I971" s="14">
        <v>0</v>
      </c>
      <c r="J971" s="14">
        <v>1</v>
      </c>
      <c r="K971" s="15" t="str">
        <f t="shared" si="183"/>
        <v>Twitter Web Client</v>
      </c>
      <c r="L971" s="14">
        <v>401</v>
      </c>
      <c r="M971" s="14">
        <v>453</v>
      </c>
      <c r="N971" s="14">
        <v>23</v>
      </c>
      <c r="O971" s="16"/>
      <c r="P971" s="6">
        <v>40217.523263888885</v>
      </c>
      <c r="Q971" s="12" t="s">
        <v>137</v>
      </c>
      <c r="R971" s="17" t="s">
        <v>4051</v>
      </c>
      <c r="S971" s="11"/>
      <c r="T971" s="11"/>
      <c r="U971" s="10" t="str">
        <f>HYPERLINK("https://pbs.twimg.com/profile_images/3077364580/cf6e989a1c9c737f5055a3eb7b721095.jpeg","View")</f>
        <v>View</v>
      </c>
    </row>
    <row r="972" spans="1:21" ht="40.799999999999997">
      <c r="A972" s="6">
        <v>43440.394826388889</v>
      </c>
      <c r="B972" s="7" t="str">
        <f>HYPERLINK("https://twitter.com/migupelo2","@migupelo2")</f>
        <v>@migupelo2</v>
      </c>
      <c r="C972" s="8" t="s">
        <v>907</v>
      </c>
      <c r="D972" s="9" t="s">
        <v>3438</v>
      </c>
      <c r="E972" s="10" t="str">
        <f>HYPERLINK("https://twitter.com/migupelo2/status/1070595841172357121","1070595841172357121")</f>
        <v>1070595841172357121</v>
      </c>
      <c r="F972" s="13" t="s">
        <v>3439</v>
      </c>
      <c r="G972" s="11"/>
      <c r="H972" s="11"/>
      <c r="I972" s="14">
        <v>0</v>
      </c>
      <c r="J972" s="14">
        <v>0</v>
      </c>
      <c r="K972" s="15" t="str">
        <f t="shared" si="183"/>
        <v>Twitter Web Client</v>
      </c>
      <c r="L972" s="14">
        <v>266</v>
      </c>
      <c r="M972" s="14">
        <v>771</v>
      </c>
      <c r="N972" s="14">
        <v>18</v>
      </c>
      <c r="O972" s="16"/>
      <c r="P972" s="6">
        <v>40477.868043981478</v>
      </c>
      <c r="Q972" s="11"/>
      <c r="R972" s="17" t="s">
        <v>914</v>
      </c>
      <c r="S972" s="11"/>
      <c r="T972" s="11"/>
      <c r="U972" s="10" t="str">
        <f>HYPERLINK("https://pbs.twimg.com/profile_images/2906316440/4ed1570f50fd6f70f1b28d458997dd81.jpeg","View")</f>
        <v>View</v>
      </c>
    </row>
    <row r="973" spans="1:21" ht="51">
      <c r="A973" s="6">
        <v>43440.392928240741</v>
      </c>
      <c r="B973" s="7" t="str">
        <f>HYPERLINK("https://twitter.com/juluniver","@juluniver")</f>
        <v>@juluniver</v>
      </c>
      <c r="C973" s="8" t="s">
        <v>544</v>
      </c>
      <c r="D973" s="9" t="s">
        <v>3442</v>
      </c>
      <c r="E973" s="10" t="str">
        <f>HYPERLINK("https://twitter.com/juluniver/status/1070595150735388672","1070595150735388672")</f>
        <v>1070595150735388672</v>
      </c>
      <c r="F973" s="13" t="s">
        <v>3444</v>
      </c>
      <c r="G973" s="11"/>
      <c r="H973" s="11"/>
      <c r="I973" s="14">
        <v>0</v>
      </c>
      <c r="J973" s="14">
        <v>0</v>
      </c>
      <c r="K973" s="15" t="str">
        <f>HYPERLINK("http://twitter.com/download/android","Twitter for Android")</f>
        <v>Twitter for Android</v>
      </c>
      <c r="L973" s="14">
        <v>143</v>
      </c>
      <c r="M973" s="14">
        <v>91</v>
      </c>
      <c r="N973" s="14">
        <v>2</v>
      </c>
      <c r="O973" s="16"/>
      <c r="P973" s="6">
        <v>42166.543541666666</v>
      </c>
      <c r="Q973" s="12" t="s">
        <v>551</v>
      </c>
      <c r="R973" s="17" t="s">
        <v>553</v>
      </c>
      <c r="S973" s="11"/>
      <c r="T973" s="11"/>
      <c r="U973" s="10" t="str">
        <f>HYPERLINK("https://pbs.twimg.com/profile_images/847880241892777992/Krxx7fp-.jpg","View")</f>
        <v>View</v>
      </c>
    </row>
    <row r="974" spans="1:21" ht="51">
      <c r="A974" s="6">
        <v>43440.391805555555</v>
      </c>
      <c r="B974" s="7" t="str">
        <f>HYPERLINK("https://twitter.com/CsMollet","@CsMollet")</f>
        <v>@CsMollet</v>
      </c>
      <c r="C974" s="8" t="s">
        <v>3450</v>
      </c>
      <c r="D974" s="9" t="s">
        <v>3451</v>
      </c>
      <c r="E974" s="10" t="str">
        <f>HYPERLINK("https://twitter.com/CsMollet/status/1070594746689744896","1070594746689744896")</f>
        <v>1070594746689744896</v>
      </c>
      <c r="F974" s="11"/>
      <c r="G974" s="13" t="s">
        <v>3454</v>
      </c>
      <c r="H974" s="11"/>
      <c r="I974" s="14">
        <v>6</v>
      </c>
      <c r="J974" s="14">
        <v>8</v>
      </c>
      <c r="K974" s="15" t="str">
        <f>HYPERLINK("https://mobile.twitter.com","Twitter Lite")</f>
        <v>Twitter Lite</v>
      </c>
      <c r="L974" s="14">
        <v>1934</v>
      </c>
      <c r="M974" s="14">
        <v>588</v>
      </c>
      <c r="N974" s="14">
        <v>31</v>
      </c>
      <c r="O974" s="16"/>
      <c r="P974" s="6">
        <v>41677.379953703705</v>
      </c>
      <c r="Q974" s="12" t="s">
        <v>3456</v>
      </c>
      <c r="R974" s="17" t="s">
        <v>3457</v>
      </c>
      <c r="S974" s="11"/>
      <c r="T974" s="11"/>
      <c r="U974" s="10" t="str">
        <f>HYPERLINK("https://pbs.twimg.com/profile_images/906479414891999237/DMNitU_1.jpg","View")</f>
        <v>View</v>
      </c>
    </row>
    <row r="975" spans="1:21" ht="20.399999999999999">
      <c r="A975" s="6">
        <v>43440.385115740741</v>
      </c>
      <c r="B975" s="7" t="str">
        <f>HYPERLINK("https://twitter.com/_Gafas_y_reloj_","@_Gafas_y_reloj_")</f>
        <v>@_Gafas_y_reloj_</v>
      </c>
      <c r="C975" s="8" t="s">
        <v>284</v>
      </c>
      <c r="D975" s="9" t="s">
        <v>4060</v>
      </c>
      <c r="E975" s="10" t="str">
        <f>HYPERLINK("https://twitter.com/_Gafas_y_reloj_/status/1070592320100282368","1070592320100282368")</f>
        <v>1070592320100282368</v>
      </c>
      <c r="F975" s="11"/>
      <c r="G975" s="11"/>
      <c r="H975" s="11"/>
      <c r="I975" s="14">
        <v>0</v>
      </c>
      <c r="J975" s="14">
        <v>2</v>
      </c>
      <c r="K975" s="15" t="str">
        <f>HYPERLINK("http://twitter.com","Twitter Web Client")</f>
        <v>Twitter Web Client</v>
      </c>
      <c r="L975" s="14">
        <v>11839</v>
      </c>
      <c r="M975" s="14">
        <v>718</v>
      </c>
      <c r="N975" s="14">
        <v>194</v>
      </c>
      <c r="O975" s="16"/>
      <c r="P975" s="6">
        <v>40803.430173611108</v>
      </c>
      <c r="Q975" s="12" t="s">
        <v>288</v>
      </c>
      <c r="R975" s="17" t="s">
        <v>289</v>
      </c>
      <c r="S975" s="11"/>
      <c r="T975" s="11"/>
      <c r="U975" s="10" t="str">
        <f>HYPERLINK("https://pbs.twimg.com/profile_images/923940667965038593/LEd9tLut.jpg","View")</f>
        <v>View</v>
      </c>
    </row>
    <row r="976" spans="1:21" ht="20.399999999999999">
      <c r="A976" s="6">
        <v>43440.38180555556</v>
      </c>
      <c r="B976" s="7" t="str">
        <f>HYPERLINK("https://twitter.com/lolapastur","@lolapastur")</f>
        <v>@lolapastur</v>
      </c>
      <c r="C976" s="8" t="s">
        <v>4064</v>
      </c>
      <c r="D976" s="9" t="s">
        <v>4065</v>
      </c>
      <c r="E976" s="10" t="str">
        <f>HYPERLINK("https://twitter.com/lolapastur/status/1070591120978132992","1070591120978132992")</f>
        <v>1070591120978132992</v>
      </c>
      <c r="F976" s="13" t="s">
        <v>3869</v>
      </c>
      <c r="G976" s="11"/>
      <c r="H976" s="11"/>
      <c r="I976" s="14">
        <v>0</v>
      </c>
      <c r="J976" s="14">
        <v>1</v>
      </c>
      <c r="K976" s="15" t="str">
        <f>HYPERLINK("http://twitter.com/download/iphone","Twitter for iPhone")</f>
        <v>Twitter for iPhone</v>
      </c>
      <c r="L976" s="14">
        <v>3784</v>
      </c>
      <c r="M976" s="14">
        <v>2833</v>
      </c>
      <c r="N976" s="14">
        <v>33</v>
      </c>
      <c r="O976" s="16"/>
      <c r="P976" s="6">
        <v>40913.599293981482</v>
      </c>
      <c r="Q976" s="11"/>
      <c r="R976" s="17" t="s">
        <v>4066</v>
      </c>
      <c r="S976" s="11"/>
      <c r="T976" s="11"/>
      <c r="U976" s="10" t="str">
        <f>HYPERLINK("https://pbs.twimg.com/profile_images/934821295736451073/tnymHvNj.jpg","View")</f>
        <v>View</v>
      </c>
    </row>
    <row r="977" spans="1:21" ht="30.6">
      <c r="A977" s="6">
        <v>43440.380590277782</v>
      </c>
      <c r="B977" s="7" t="str">
        <f>HYPERLINK("https://twitter.com/BabunitaSeco","@BabunitaSeco")</f>
        <v>@BabunitaSeco</v>
      </c>
      <c r="C977" s="8" t="s">
        <v>3460</v>
      </c>
      <c r="D977" s="9" t="s">
        <v>3461</v>
      </c>
      <c r="E977" s="10" t="str">
        <f>HYPERLINK("https://twitter.com/BabunitaSeco/status/1070590679401852928","1070590679401852928")</f>
        <v>1070590679401852928</v>
      </c>
      <c r="F977" s="12" t="s">
        <v>2857</v>
      </c>
      <c r="G977" s="11"/>
      <c r="H977" s="11"/>
      <c r="I977" s="14">
        <v>0</v>
      </c>
      <c r="J977" s="14">
        <v>0</v>
      </c>
      <c r="K977" s="15" t="str">
        <f>HYPERLINK("https://mobile.twitter.com","Twitter Lite")</f>
        <v>Twitter Lite</v>
      </c>
      <c r="L977" s="14">
        <v>194</v>
      </c>
      <c r="M977" s="14">
        <v>258</v>
      </c>
      <c r="N977" s="14">
        <v>13</v>
      </c>
      <c r="O977" s="16"/>
      <c r="P977" s="6">
        <v>40689.45930555556</v>
      </c>
      <c r="Q977" s="12" t="s">
        <v>3462</v>
      </c>
      <c r="R977" s="18"/>
      <c r="S977" s="13" t="s">
        <v>3463</v>
      </c>
      <c r="T977" s="11"/>
      <c r="U977" s="10" t="str">
        <f>HYPERLINK("https://pbs.twimg.com/profile_images/1369508100/Avatar.gif","View")</f>
        <v>View</v>
      </c>
    </row>
    <row r="978" spans="1:21" ht="30.6">
      <c r="A978" s="6">
        <v>43440.379236111112</v>
      </c>
      <c r="B978" s="7" t="str">
        <f>HYPERLINK("https://twitter.com/AAlvarezAlvarez","@AAlvarezAlvarez")</f>
        <v>@AAlvarezAlvarez</v>
      </c>
      <c r="C978" s="8" t="s">
        <v>4070</v>
      </c>
      <c r="D978" s="9" t="s">
        <v>4071</v>
      </c>
      <c r="E978" s="10" t="str">
        <f>HYPERLINK("https://twitter.com/AAlvarezAlvarez/status/1070590187770654720","1070590187770654720")</f>
        <v>1070590187770654720</v>
      </c>
      <c r="F978" s="13" t="s">
        <v>4072</v>
      </c>
      <c r="G978" s="11"/>
      <c r="H978" s="11"/>
      <c r="I978" s="14">
        <v>1</v>
      </c>
      <c r="J978" s="14">
        <v>0</v>
      </c>
      <c r="K978" s="15" t="str">
        <f t="shared" ref="K978:K979" si="184">HYPERLINK("http://twitter.com","Twitter Web Client")</f>
        <v>Twitter Web Client</v>
      </c>
      <c r="L978" s="14">
        <v>19597</v>
      </c>
      <c r="M978" s="14">
        <v>11455</v>
      </c>
      <c r="N978" s="14">
        <v>522</v>
      </c>
      <c r="O978" s="19" t="s">
        <v>42</v>
      </c>
      <c r="P978" s="6">
        <v>40025.065312500003</v>
      </c>
      <c r="Q978" s="12" t="s">
        <v>4073</v>
      </c>
      <c r="R978" s="17" t="s">
        <v>4074</v>
      </c>
      <c r="S978" s="13" t="s">
        <v>4075</v>
      </c>
      <c r="T978" s="11"/>
      <c r="U978" s="10" t="str">
        <f>HYPERLINK("https://pbs.twimg.com/profile_images/851487255969628163/4fFa4j5j.jpg","View")</f>
        <v>View</v>
      </c>
    </row>
    <row r="979" spans="1:21" ht="51">
      <c r="A979" s="6">
        <v>43440.37877314815</v>
      </c>
      <c r="B979" s="7" t="str">
        <f>HYPERLINK("https://twitter.com/JcsBaleares","@JcsBaleares")</f>
        <v>@JcsBaleares</v>
      </c>
      <c r="C979" s="8" t="s">
        <v>3466</v>
      </c>
      <c r="D979" s="9" t="s">
        <v>3467</v>
      </c>
      <c r="E979" s="10" t="str">
        <f>HYPERLINK("https://twitter.com/JcsBaleares/status/1070590023827931136","1070590023827931136")</f>
        <v>1070590023827931136</v>
      </c>
      <c r="F979" s="13" t="s">
        <v>1316</v>
      </c>
      <c r="G979" s="11"/>
      <c r="H979" s="11"/>
      <c r="I979" s="14">
        <v>13</v>
      </c>
      <c r="J979" s="14">
        <v>13</v>
      </c>
      <c r="K979" s="15" t="str">
        <f t="shared" si="184"/>
        <v>Twitter Web Client</v>
      </c>
      <c r="L979" s="14">
        <v>502</v>
      </c>
      <c r="M979" s="14">
        <v>410</v>
      </c>
      <c r="N979" s="14">
        <v>5</v>
      </c>
      <c r="O979" s="16"/>
      <c r="P979" s="6">
        <v>42747.303796296299</v>
      </c>
      <c r="Q979" s="12" t="s">
        <v>3468</v>
      </c>
      <c r="R979" s="17" t="s">
        <v>3469</v>
      </c>
      <c r="S979" s="13" t="s">
        <v>3470</v>
      </c>
      <c r="T979" s="11"/>
      <c r="U979" s="10" t="str">
        <f>HYPERLINK("https://pbs.twimg.com/profile_images/1053528114410733568/peA-yQjf.jpg","View")</f>
        <v>View</v>
      </c>
    </row>
    <row r="980" spans="1:21" ht="51">
      <c r="A980" s="6">
        <v>43440.376388888893</v>
      </c>
      <c r="B980" s="7" t="str">
        <f>HYPERLINK("https://twitter.com/bitMomentum","@bitMomentum")</f>
        <v>@bitMomentum</v>
      </c>
      <c r="C980" s="8" t="s">
        <v>1889</v>
      </c>
      <c r="D980" s="9" t="s">
        <v>3471</v>
      </c>
      <c r="E980" s="10" t="str">
        <f>HYPERLINK("https://twitter.com/bitMomentum/status/1070589156567465984","1070589156567465984")</f>
        <v>1070589156567465984</v>
      </c>
      <c r="F980" s="11"/>
      <c r="G980" s="11"/>
      <c r="H980" s="11"/>
      <c r="I980" s="14">
        <v>0</v>
      </c>
      <c r="J980" s="14">
        <v>1</v>
      </c>
      <c r="K980" s="15" t="str">
        <f>HYPERLINK("http://www.bitmomentum.com","bitMomentum Bot")</f>
        <v>bitMomentum Bot</v>
      </c>
      <c r="L980" s="14">
        <v>10254</v>
      </c>
      <c r="M980" s="14">
        <v>1059</v>
      </c>
      <c r="N980" s="14">
        <v>263</v>
      </c>
      <c r="O980" s="16"/>
      <c r="P980" s="6">
        <v>41608.667511574073</v>
      </c>
      <c r="Q980" s="11"/>
      <c r="R980" s="17" t="s">
        <v>1897</v>
      </c>
      <c r="S980" s="13" t="s">
        <v>1898</v>
      </c>
      <c r="T980" s="11"/>
      <c r="U980" s="10" t="str">
        <f>HYPERLINK("https://pbs.twimg.com/profile_images/378800000862185241/20ij2H3u.png","View")</f>
        <v>View</v>
      </c>
    </row>
    <row r="981" spans="1:21" ht="61.2">
      <c r="A981" s="6">
        <v>43440.37600694444</v>
      </c>
      <c r="B981" s="7" t="str">
        <f>HYPERLINK("https://twitter.com/ignaciosolen","@ignaciosolen")</f>
        <v>@ignaciosolen</v>
      </c>
      <c r="C981" s="8" t="s">
        <v>3472</v>
      </c>
      <c r="D981" s="9" t="s">
        <v>3473</v>
      </c>
      <c r="E981" s="10" t="str">
        <f>HYPERLINK("https://twitter.com/ignaciosolen/status/1070589018537148416","1070589018537148416")</f>
        <v>1070589018537148416</v>
      </c>
      <c r="F981" s="12" t="s">
        <v>1244</v>
      </c>
      <c r="G981" s="11"/>
      <c r="H981" s="11"/>
      <c r="I981" s="14">
        <v>0</v>
      </c>
      <c r="J981" s="14">
        <v>0</v>
      </c>
      <c r="K981" s="15" t="str">
        <f>HYPERLINK("http://twitter.com/download/iphone","Twitter for iPhone")</f>
        <v>Twitter for iPhone</v>
      </c>
      <c r="L981" s="14">
        <v>793</v>
      </c>
      <c r="M981" s="14">
        <v>866</v>
      </c>
      <c r="N981" s="14">
        <v>0</v>
      </c>
      <c r="O981" s="16"/>
      <c r="P981" s="6">
        <v>42935.463275462964</v>
      </c>
      <c r="Q981" s="12" t="s">
        <v>3476</v>
      </c>
      <c r="R981" s="17" t="s">
        <v>3477</v>
      </c>
      <c r="S981" s="11"/>
      <c r="T981" s="11"/>
      <c r="U981" s="10" t="str">
        <f>HYPERLINK("https://pbs.twimg.com/profile_images/1058647388783628288/ejvoUuLp.jpg","View")</f>
        <v>View</v>
      </c>
    </row>
    <row r="982" spans="1:21" ht="51">
      <c r="A982" s="6">
        <v>43440.375694444447</v>
      </c>
      <c r="B982" s="7" t="str">
        <f>HYPERLINK("https://twitter.com/bitMomentum","@bitMomentum")</f>
        <v>@bitMomentum</v>
      </c>
      <c r="C982" s="8" t="s">
        <v>1889</v>
      </c>
      <c r="D982" s="9" t="s">
        <v>3480</v>
      </c>
      <c r="E982" s="10" t="str">
        <f>HYPERLINK("https://twitter.com/bitMomentum/status/1070588904879861760","1070588904879861760")</f>
        <v>1070588904879861760</v>
      </c>
      <c r="F982" s="11"/>
      <c r="G982" s="11"/>
      <c r="H982" s="11"/>
      <c r="I982" s="14">
        <v>0</v>
      </c>
      <c r="J982" s="14">
        <v>1</v>
      </c>
      <c r="K982" s="15" t="str">
        <f>HYPERLINK("http://www.bitmomentum.com","bitMomentum Bot")</f>
        <v>bitMomentum Bot</v>
      </c>
      <c r="L982" s="14">
        <v>10254</v>
      </c>
      <c r="M982" s="14">
        <v>1059</v>
      </c>
      <c r="N982" s="14">
        <v>263</v>
      </c>
      <c r="O982" s="16"/>
      <c r="P982" s="6">
        <v>41608.667511574073</v>
      </c>
      <c r="Q982" s="11"/>
      <c r="R982" s="17" t="s">
        <v>1897</v>
      </c>
      <c r="S982" s="13" t="s">
        <v>1898</v>
      </c>
      <c r="T982" s="11"/>
      <c r="U982" s="10" t="str">
        <f>HYPERLINK("https://pbs.twimg.com/profile_images/378800000862185241/20ij2H3u.png","View")</f>
        <v>View</v>
      </c>
    </row>
    <row r="983" spans="1:21" ht="40.799999999999997">
      <c r="A983" s="6">
        <v>43440.375694444447</v>
      </c>
      <c r="B983" s="7" t="str">
        <f>HYPERLINK("https://twitter.com/JCarbonellgom","@JCarbonellgom")</f>
        <v>@JCarbonellgom</v>
      </c>
      <c r="C983" s="8" t="s">
        <v>4086</v>
      </c>
      <c r="D983" s="9" t="s">
        <v>4087</v>
      </c>
      <c r="E983" s="10" t="str">
        <f>HYPERLINK("https://twitter.com/JCarbonellgom/status/1070588904355651595","1070588904355651595")</f>
        <v>1070588904355651595</v>
      </c>
      <c r="F983" s="13" t="s">
        <v>4089</v>
      </c>
      <c r="G983" s="11"/>
      <c r="H983" s="11"/>
      <c r="I983" s="14">
        <v>5</v>
      </c>
      <c r="J983" s="14">
        <v>13</v>
      </c>
      <c r="K983" s="15" t="str">
        <f>HYPERLINK("http://twitter.com/download/iphone","Twitter for iPhone")</f>
        <v>Twitter for iPhone</v>
      </c>
      <c r="L983" s="14">
        <v>22</v>
      </c>
      <c r="M983" s="14">
        <v>46</v>
      </c>
      <c r="N983" s="14">
        <v>0</v>
      </c>
      <c r="O983" s="16"/>
      <c r="P983" s="6">
        <v>43010.497488425928</v>
      </c>
      <c r="Q983" s="12" t="s">
        <v>786</v>
      </c>
      <c r="R983" s="17" t="s">
        <v>4090</v>
      </c>
      <c r="S983" s="11"/>
      <c r="T983" s="11"/>
      <c r="U983" s="10" t="str">
        <f>HYPERLINK("https://pbs.twimg.com/profile_images/1070598396413657088/Ty1LO9Gg.jpg","View")</f>
        <v>View</v>
      </c>
    </row>
    <row r="984" spans="1:21" ht="51">
      <c r="A984" s="6">
        <v>43440.374849537038</v>
      </c>
      <c r="B984" s="7" t="str">
        <f>HYPERLINK("https://twitter.com/Geoestrategia1","@Geoestrategia1")</f>
        <v>@Geoestrategia1</v>
      </c>
      <c r="C984" s="8" t="s">
        <v>4093</v>
      </c>
      <c r="D984" s="9" t="s">
        <v>4094</v>
      </c>
      <c r="E984" s="10" t="str">
        <f>HYPERLINK("https://twitter.com/Geoestrategia1/status/1070588601589817344","1070588601589817344")</f>
        <v>1070588601589817344</v>
      </c>
      <c r="F984" s="13" t="s">
        <v>4095</v>
      </c>
      <c r="G984" s="13" t="s">
        <v>4096</v>
      </c>
      <c r="H984" s="11"/>
      <c r="I984" s="14">
        <v>0</v>
      </c>
      <c r="J984" s="14">
        <v>0</v>
      </c>
      <c r="K984" s="15" t="str">
        <f>HYPERLINK("https://ifttt.com","IFTTT")</f>
        <v>IFTTT</v>
      </c>
      <c r="L984" s="14">
        <v>5502</v>
      </c>
      <c r="M984" s="14">
        <v>5015</v>
      </c>
      <c r="N984" s="14">
        <v>32</v>
      </c>
      <c r="O984" s="16"/>
      <c r="P984" s="6">
        <v>42164.035497685181</v>
      </c>
      <c r="Q984" s="12" t="s">
        <v>137</v>
      </c>
      <c r="R984" s="17" t="s">
        <v>4099</v>
      </c>
      <c r="S984" s="13" t="s">
        <v>4100</v>
      </c>
      <c r="T984" s="11"/>
      <c r="U984" s="10" t="str">
        <f>HYPERLINK("https://pbs.twimg.com/profile_images/982992933329752064/IUvt_lEY.jpg","View")</f>
        <v>View</v>
      </c>
    </row>
    <row r="985" spans="1:21" ht="71.400000000000006">
      <c r="A985" s="6">
        <v>43440.372025462959</v>
      </c>
      <c r="B985" s="7" t="str">
        <f>HYPERLINK("https://twitter.com/jyern1","@jyern1")</f>
        <v>@jyern1</v>
      </c>
      <c r="C985" s="8" t="s">
        <v>4103</v>
      </c>
      <c r="D985" s="9" t="s">
        <v>4104</v>
      </c>
      <c r="E985" s="10" t="str">
        <f>HYPERLINK("https://twitter.com/jyern1/status/1070587578607382528","1070587578607382528")</f>
        <v>1070587578607382528</v>
      </c>
      <c r="F985" s="13" t="s">
        <v>4106</v>
      </c>
      <c r="G985" s="13" t="s">
        <v>4107</v>
      </c>
      <c r="H985" s="11"/>
      <c r="I985" s="14">
        <v>0</v>
      </c>
      <c r="J985" s="14">
        <v>0</v>
      </c>
      <c r="K985" s="15" t="str">
        <f>HYPERLINK("http://twitter.com/download/android","Twitter for Android")</f>
        <v>Twitter for Android</v>
      </c>
      <c r="L985" s="14">
        <v>210</v>
      </c>
      <c r="M985" s="14">
        <v>950</v>
      </c>
      <c r="N985" s="14">
        <v>4</v>
      </c>
      <c r="O985" s="16"/>
      <c r="P985" s="6">
        <v>40788.621435185181</v>
      </c>
      <c r="Q985" s="12" t="s">
        <v>4110</v>
      </c>
      <c r="R985" s="17" t="s">
        <v>4111</v>
      </c>
      <c r="S985" s="11"/>
      <c r="T985" s="11"/>
      <c r="U985" s="10" t="str">
        <f>HYPERLINK("https://pbs.twimg.com/profile_images/1687244094/es_vedr_.jpg","View")</f>
        <v>View</v>
      </c>
    </row>
    <row r="986" spans="1:21" ht="51">
      <c r="A986" s="6">
        <v>43440.371782407412</v>
      </c>
      <c r="B986" s="7" t="str">
        <f>HYPERLINK("https://twitter.com/Concepc98510820","@Concepc98510820")</f>
        <v>@Concepc98510820</v>
      </c>
      <c r="C986" s="8" t="s">
        <v>494</v>
      </c>
      <c r="D986" s="9" t="s">
        <v>3483</v>
      </c>
      <c r="E986" s="10" t="str">
        <f>HYPERLINK("https://twitter.com/Concepc98510820/status/1070587490392829952","1070587490392829952")</f>
        <v>1070587490392829952</v>
      </c>
      <c r="F986" s="12" t="s">
        <v>3484</v>
      </c>
      <c r="G986" s="11"/>
      <c r="H986" s="11"/>
      <c r="I986" s="14">
        <v>7</v>
      </c>
      <c r="J986" s="14">
        <v>9</v>
      </c>
      <c r="K986" s="15" t="str">
        <f>HYPERLINK("https://mobile.twitter.com","Twitter Lite")</f>
        <v>Twitter Lite</v>
      </c>
      <c r="L986" s="14">
        <v>739</v>
      </c>
      <c r="M986" s="14">
        <v>339</v>
      </c>
      <c r="N986" s="14">
        <v>3</v>
      </c>
      <c r="O986" s="16"/>
      <c r="P986" s="6">
        <v>43000.366782407407</v>
      </c>
      <c r="Q986" s="11"/>
      <c r="R986" s="17" t="s">
        <v>504</v>
      </c>
      <c r="S986" s="11"/>
      <c r="T986" s="11"/>
      <c r="U986" s="10" t="str">
        <f>HYPERLINK("https://pbs.twimg.com/profile_images/1012999387205832704/BtuOFMFu.jpg","View")</f>
        <v>View</v>
      </c>
    </row>
    <row r="987" spans="1:21" ht="40.799999999999997">
      <c r="A987" s="6">
        <v>43440.371689814812</v>
      </c>
      <c r="B987" s="7" t="str">
        <f>HYPERLINK("https://twitter.com/_alfredodiaz_","@_alfredodiaz_")</f>
        <v>@_alfredodiaz_</v>
      </c>
      <c r="C987" s="8" t="s">
        <v>2145</v>
      </c>
      <c r="D987" s="9" t="s">
        <v>3485</v>
      </c>
      <c r="E987" s="10" t="str">
        <f>HYPERLINK("https://twitter.com/_alfredodiaz_/status/1070587454493786112","1070587454493786112")</f>
        <v>1070587454493786112</v>
      </c>
      <c r="F987" s="12" t="s">
        <v>3486</v>
      </c>
      <c r="G987" s="11"/>
      <c r="H987" s="11"/>
      <c r="I987" s="14">
        <v>0</v>
      </c>
      <c r="J987" s="14">
        <v>1</v>
      </c>
      <c r="K987" s="15" t="str">
        <f t="shared" ref="K987:K988" si="185">HYPERLINK("http://twitter.com","Twitter Web Client")</f>
        <v>Twitter Web Client</v>
      </c>
      <c r="L987" s="14">
        <v>225</v>
      </c>
      <c r="M987" s="14">
        <v>445</v>
      </c>
      <c r="N987" s="14">
        <v>1</v>
      </c>
      <c r="O987" s="16"/>
      <c r="P987" s="6">
        <v>41297.642500000002</v>
      </c>
      <c r="Q987" s="12" t="s">
        <v>60</v>
      </c>
      <c r="R987" s="17" t="s">
        <v>2149</v>
      </c>
      <c r="S987" s="13" t="s">
        <v>2150</v>
      </c>
      <c r="T987" s="11"/>
      <c r="U987" s="10" t="str">
        <f>HYPERLINK("https://pbs.twimg.com/profile_images/1069332101009428480/-TZFcUhf.jpg","View")</f>
        <v>View</v>
      </c>
    </row>
    <row r="988" spans="1:21" ht="30.6">
      <c r="A988" s="6">
        <v>43440.369259259256</v>
      </c>
      <c r="B988" s="7" t="str">
        <f>HYPERLINK("https://twitter.com/Galindo_Cs","@Galindo_Cs")</f>
        <v>@Galindo_Cs</v>
      </c>
      <c r="C988" s="8" t="s">
        <v>4117</v>
      </c>
      <c r="D988" s="9" t="s">
        <v>4118</v>
      </c>
      <c r="E988" s="10" t="str">
        <f>HYPERLINK("https://twitter.com/Galindo_Cs/status/1070586573148835840","1070586573148835840")</f>
        <v>1070586573148835840</v>
      </c>
      <c r="F988" s="13" t="s">
        <v>1899</v>
      </c>
      <c r="G988" s="11"/>
      <c r="H988" s="11"/>
      <c r="I988" s="14">
        <v>0</v>
      </c>
      <c r="J988" s="14">
        <v>0</v>
      </c>
      <c r="K988" s="15" t="str">
        <f t="shared" si="185"/>
        <v>Twitter Web Client</v>
      </c>
      <c r="L988" s="14">
        <v>39</v>
      </c>
      <c r="M988" s="14">
        <v>42</v>
      </c>
      <c r="N988" s="14">
        <v>0</v>
      </c>
      <c r="O988" s="16"/>
      <c r="P988" s="6">
        <v>43014.698807870373</v>
      </c>
      <c r="Q988" s="12" t="s">
        <v>614</v>
      </c>
      <c r="R988" s="17" t="s">
        <v>4119</v>
      </c>
      <c r="S988" s="13" t="s">
        <v>1587</v>
      </c>
      <c r="T988" s="11"/>
      <c r="U988" s="10" t="str">
        <f>HYPERLINK("https://pbs.twimg.com/profile_images/1047749060050997248/d8L50brC.jpg","View")</f>
        <v>View</v>
      </c>
    </row>
    <row r="989" spans="1:21" ht="30.6">
      <c r="A989" s="6">
        <v>43440.368101851855</v>
      </c>
      <c r="B989" s="7" t="str">
        <f>HYPERLINK("https://twitter.com/marquezsergio09","@marquezsergio09")</f>
        <v>@marquezsergio09</v>
      </c>
      <c r="C989" s="8" t="s">
        <v>3488</v>
      </c>
      <c r="D989" s="9" t="s">
        <v>3489</v>
      </c>
      <c r="E989" s="10" t="str">
        <f>HYPERLINK("https://twitter.com/marquezsergio09/status/1070586153118691328","1070586153118691328")</f>
        <v>1070586153118691328</v>
      </c>
      <c r="F989" s="12" t="s">
        <v>3490</v>
      </c>
      <c r="G989" s="11"/>
      <c r="H989" s="11"/>
      <c r="I989" s="14">
        <v>0</v>
      </c>
      <c r="J989" s="14">
        <v>1</v>
      </c>
      <c r="K989" s="15" t="str">
        <f>HYPERLINK("http://twitter.com/download/android","Twitter for Android")</f>
        <v>Twitter for Android</v>
      </c>
      <c r="L989" s="14">
        <v>509</v>
      </c>
      <c r="M989" s="14">
        <v>1013</v>
      </c>
      <c r="N989" s="14">
        <v>0</v>
      </c>
      <c r="O989" s="16"/>
      <c r="P989" s="6">
        <v>42740.647418981476</v>
      </c>
      <c r="Q989" s="12" t="s">
        <v>602</v>
      </c>
      <c r="R989" s="17" t="s">
        <v>3493</v>
      </c>
      <c r="S989" s="11"/>
      <c r="T989" s="11"/>
      <c r="U989" s="10" t="str">
        <f>HYPERLINK("https://pbs.twimg.com/profile_images/1063280678782058497/HVuBkRi2.jpg","View")</f>
        <v>View</v>
      </c>
    </row>
    <row r="990" spans="1:21" ht="30.6">
      <c r="A990" s="6">
        <v>43440.363946759258</v>
      </c>
      <c r="B990" s="7" t="str">
        <f>HYPERLINK("https://twitter.com/ECCultura","@ECCultura")</f>
        <v>@ECCultura</v>
      </c>
      <c r="C990" s="8" t="s">
        <v>4122</v>
      </c>
      <c r="D990" s="9" t="s">
        <v>3888</v>
      </c>
      <c r="E990" s="10" t="str">
        <f>HYPERLINK("https://twitter.com/ECCultura/status/1070584648961482753","1070584648961482753")</f>
        <v>1070584648961482753</v>
      </c>
      <c r="F990" s="13" t="s">
        <v>4125</v>
      </c>
      <c r="G990" s="11"/>
      <c r="H990" s="11"/>
      <c r="I990" s="14">
        <v>1</v>
      </c>
      <c r="J990" s="14">
        <v>0</v>
      </c>
      <c r="K990" s="15" t="str">
        <f>HYPERLINK("https://dlvrit.com/","dlvr.it")</f>
        <v>dlvr.it</v>
      </c>
      <c r="L990" s="14">
        <v>10827</v>
      </c>
      <c r="M990" s="14">
        <v>571</v>
      </c>
      <c r="N990" s="14">
        <v>430</v>
      </c>
      <c r="O990" s="16"/>
      <c r="P990" s="6">
        <v>41303.464907407411</v>
      </c>
      <c r="Q990" s="12" t="s">
        <v>4127</v>
      </c>
      <c r="R990" s="17" t="s">
        <v>4128</v>
      </c>
      <c r="S990" s="13" t="s">
        <v>4129</v>
      </c>
      <c r="T990" s="11"/>
      <c r="U990" s="10" t="str">
        <f>HYPERLINK("https://pbs.twimg.com/profile_images/831500130268352513/9-lnI_E5.jpg","View")</f>
        <v>View</v>
      </c>
    </row>
    <row r="991" spans="1:21" ht="40.799999999999997">
      <c r="A991" s="6">
        <v>43440.363738425927</v>
      </c>
      <c r="B991" s="7" t="str">
        <f>HYPERLINK("https://twitter.com/pakocab","@pakocab")</f>
        <v>@pakocab</v>
      </c>
      <c r="C991" s="8" t="s">
        <v>3494</v>
      </c>
      <c r="D991" s="9" t="s">
        <v>3495</v>
      </c>
      <c r="E991" s="10" t="str">
        <f>HYPERLINK("https://twitter.com/pakocab/status/1070584573979955200","1070584573979955200")</f>
        <v>1070584573979955200</v>
      </c>
      <c r="F991" s="11"/>
      <c r="G991" s="11"/>
      <c r="H991" s="11"/>
      <c r="I991" s="14">
        <v>0</v>
      </c>
      <c r="J991" s="14">
        <v>0</v>
      </c>
      <c r="K991" s="15" t="str">
        <f>HYPERLINK("http://twitter.com/download/android","Twitter for Android")</f>
        <v>Twitter for Android</v>
      </c>
      <c r="L991" s="14">
        <v>62</v>
      </c>
      <c r="M991" s="14">
        <v>196</v>
      </c>
      <c r="N991" s="14">
        <v>0</v>
      </c>
      <c r="O991" s="16"/>
      <c r="P991" s="6">
        <v>40896.838819444441</v>
      </c>
      <c r="Q991" s="11"/>
      <c r="R991" s="18"/>
      <c r="S991" s="11"/>
      <c r="T991" s="11"/>
      <c r="U991" s="10" t="str">
        <f>HYPERLINK("https://pbs.twimg.com/profile_images/903301073108172800/5KabZQQl.jpg","View")</f>
        <v>View</v>
      </c>
    </row>
    <row r="992" spans="1:21" ht="40.799999999999997">
      <c r="A992" s="6">
        <v>43440.363645833335</v>
      </c>
      <c r="B992" s="7" t="str">
        <f>HYPERLINK("https://twitter.com/Sanfermin00","@Sanfermin00")</f>
        <v>@Sanfermin00</v>
      </c>
      <c r="C992" s="8" t="s">
        <v>2763</v>
      </c>
      <c r="D992" s="9" t="s">
        <v>4134</v>
      </c>
      <c r="E992" s="10" t="str">
        <f>HYPERLINK("https://twitter.com/Sanfermin00/status/1070584539708358656","1070584539708358656")</f>
        <v>1070584539708358656</v>
      </c>
      <c r="F992" s="13" t="s">
        <v>4135</v>
      </c>
      <c r="G992" s="11"/>
      <c r="H992" s="11"/>
      <c r="I992" s="14">
        <v>0</v>
      </c>
      <c r="J992" s="14">
        <v>0</v>
      </c>
      <c r="K992" s="15" t="str">
        <f>HYPERLINK("http://twitter.com","Twitter Web Client")</f>
        <v>Twitter Web Client</v>
      </c>
      <c r="L992" s="14">
        <v>16528</v>
      </c>
      <c r="M992" s="14">
        <v>13714</v>
      </c>
      <c r="N992" s="14">
        <v>122</v>
      </c>
      <c r="O992" s="16"/>
      <c r="P992" s="6">
        <v>42362.637083333335</v>
      </c>
      <c r="Q992" s="12" t="s">
        <v>2767</v>
      </c>
      <c r="R992" s="17" t="s">
        <v>2768</v>
      </c>
      <c r="S992" s="13" t="s">
        <v>2769</v>
      </c>
      <c r="T992" s="11"/>
      <c r="U992" s="10" t="str">
        <f>HYPERLINK("https://pbs.twimg.com/profile_images/1064102923624480768/j11dV2-u.jpg","View")</f>
        <v>View</v>
      </c>
    </row>
    <row r="993" spans="1:21" ht="40.799999999999997">
      <c r="A993" s="6">
        <v>43440.362685185188</v>
      </c>
      <c r="B993" s="7" t="str">
        <f>HYPERLINK("https://twitter.com/AdeSiracusa","@AdeSiracusa")</f>
        <v>@AdeSiracusa</v>
      </c>
      <c r="C993" s="8" t="s">
        <v>79</v>
      </c>
      <c r="D993" s="9" t="s">
        <v>4138</v>
      </c>
      <c r="E993" s="10" t="str">
        <f>HYPERLINK("https://twitter.com/AdeSiracusa/status/1070584190297620481","1070584190297620481")</f>
        <v>1070584190297620481</v>
      </c>
      <c r="F993" s="13" t="s">
        <v>4139</v>
      </c>
      <c r="G993" s="11"/>
      <c r="H993" s="11"/>
      <c r="I993" s="14">
        <v>0</v>
      </c>
      <c r="J993" s="14">
        <v>0</v>
      </c>
      <c r="K993" s="15" t="str">
        <f>HYPERLINK("http://www.republicosvenezuela.com/","AdeSiracusa")</f>
        <v>AdeSiracusa</v>
      </c>
      <c r="L993" s="14">
        <v>4091</v>
      </c>
      <c r="M993" s="14">
        <v>4122</v>
      </c>
      <c r="N993" s="14">
        <v>12</v>
      </c>
      <c r="O993" s="16"/>
      <c r="P993" s="6">
        <v>42958.576388888891</v>
      </c>
      <c r="Q993" s="12" t="s">
        <v>87</v>
      </c>
      <c r="R993" s="17" t="s">
        <v>88</v>
      </c>
      <c r="S993" s="11"/>
      <c r="T993" s="11"/>
      <c r="U993" s="10" t="str">
        <f>HYPERLINK("https://pbs.twimg.com/profile_images/895978354591105024/x2wNXrPl.jpg","View")</f>
        <v>View</v>
      </c>
    </row>
    <row r="994" spans="1:21" ht="20.399999999999999">
      <c r="A994" s="6">
        <v>43440.358391203699</v>
      </c>
      <c r="B994" s="7" t="str">
        <f>HYPERLINK("https://twitter.com/infodarte","@infodarte")</f>
        <v>@infodarte</v>
      </c>
      <c r="C994" s="8" t="s">
        <v>4143</v>
      </c>
      <c r="D994" s="9" t="s">
        <v>3888</v>
      </c>
      <c r="E994" s="10" t="str">
        <f>HYPERLINK("https://twitter.com/infodarte/status/1070582635603214336","1070582635603214336")</f>
        <v>1070582635603214336</v>
      </c>
      <c r="F994" s="13" t="s">
        <v>4144</v>
      </c>
      <c r="G994" s="13" t="s">
        <v>4146</v>
      </c>
      <c r="H994" s="11"/>
      <c r="I994" s="14">
        <v>0</v>
      </c>
      <c r="J994" s="14">
        <v>1</v>
      </c>
      <c r="K994" s="15" t="str">
        <f>HYPERLINK("https://dlvrit.com/","dlvr.it")</f>
        <v>dlvr.it</v>
      </c>
      <c r="L994" s="14">
        <v>449</v>
      </c>
      <c r="M994" s="14">
        <v>467</v>
      </c>
      <c r="N994" s="14">
        <v>21</v>
      </c>
      <c r="O994" s="16"/>
      <c r="P994" s="6">
        <v>41887.389409722222</v>
      </c>
      <c r="Q994" s="12" t="s">
        <v>29</v>
      </c>
      <c r="R994" s="17" t="s">
        <v>4148</v>
      </c>
      <c r="S994" s="13" t="s">
        <v>4149</v>
      </c>
      <c r="T994" s="11"/>
      <c r="U994" s="10" t="str">
        <f>HYPERLINK("https://pbs.twimg.com/profile_images/537505618458734592/Zz_uF-rX.png","View")</f>
        <v>View</v>
      </c>
    </row>
    <row r="995" spans="1:21" ht="40.799999999999997">
      <c r="A995" s="6">
        <v>43440.35769675926</v>
      </c>
      <c r="B995" s="7" t="str">
        <f>HYPERLINK("https://twitter.com/Cs_Andalucia","@Cs_Andalucia")</f>
        <v>@Cs_Andalucia</v>
      </c>
      <c r="C995" s="8" t="s">
        <v>3496</v>
      </c>
      <c r="D995" s="9" t="s">
        <v>3497</v>
      </c>
      <c r="E995" s="10" t="str">
        <f>HYPERLINK("https://twitter.com/Cs_Andalucia/status/1070582385039814656","1070582385039814656")</f>
        <v>1070582385039814656</v>
      </c>
      <c r="F995" s="13" t="s">
        <v>3498</v>
      </c>
      <c r="G995" s="13" t="s">
        <v>3499</v>
      </c>
      <c r="H995" s="11"/>
      <c r="I995" s="14">
        <v>15</v>
      </c>
      <c r="J995" s="14">
        <v>20</v>
      </c>
      <c r="K995" s="15" t="str">
        <f>HYPERLINK("https://www.hootsuite.com","Hootsuite Inc.")</f>
        <v>Hootsuite Inc.</v>
      </c>
      <c r="L995" s="14">
        <v>24350</v>
      </c>
      <c r="M995" s="14">
        <v>1952</v>
      </c>
      <c r="N995" s="14">
        <v>293</v>
      </c>
      <c r="O995" s="19" t="s">
        <v>42</v>
      </c>
      <c r="P995" s="6">
        <v>41486.77375</v>
      </c>
      <c r="Q995" s="12" t="s">
        <v>231</v>
      </c>
      <c r="R995" s="17" t="s">
        <v>3500</v>
      </c>
      <c r="S995" s="13" t="s">
        <v>3501</v>
      </c>
      <c r="T995" s="11"/>
      <c r="U995" s="10" t="str">
        <f>HYPERLINK("https://pbs.twimg.com/profile_images/1058695543705231360/iGNXhBmQ.jpg","View")</f>
        <v>View</v>
      </c>
    </row>
    <row r="996" spans="1:21" ht="61.2">
      <c r="A996" s="6">
        <v>43440.357291666667</v>
      </c>
      <c r="B996" s="7" t="str">
        <f>HYPERLINK("https://twitter.com/AfectadosCoop","@AfectadosCoop")</f>
        <v>@AfectadosCoop</v>
      </c>
      <c r="C996" s="8" t="s">
        <v>3502</v>
      </c>
      <c r="D996" s="9" t="s">
        <v>3503</v>
      </c>
      <c r="E996" s="10" t="str">
        <f>HYPERLINK("https://twitter.com/AfectadosCoop/status/1070582238591496192","1070582238591496192")</f>
        <v>1070582238591496192</v>
      </c>
      <c r="F996" s="11"/>
      <c r="G996" s="11"/>
      <c r="H996" s="11"/>
      <c r="I996" s="14">
        <v>1</v>
      </c>
      <c r="J996" s="14">
        <v>1</v>
      </c>
      <c r="K996" s="15" t="str">
        <f>HYPERLINK("http://twitter.com","Twitter Web Client")</f>
        <v>Twitter Web Client</v>
      </c>
      <c r="L996" s="14">
        <v>266</v>
      </c>
      <c r="M996" s="14">
        <v>687</v>
      </c>
      <c r="N996" s="14">
        <v>1</v>
      </c>
      <c r="O996" s="16"/>
      <c r="P996" s="6">
        <v>43153.335879629631</v>
      </c>
      <c r="Q996" s="12" t="s">
        <v>137</v>
      </c>
      <c r="R996" s="17" t="s">
        <v>3506</v>
      </c>
      <c r="S996" s="13" t="s">
        <v>3507</v>
      </c>
      <c r="T996" s="11"/>
      <c r="U996" s="10" t="str">
        <f>HYPERLINK("https://pbs.twimg.com/profile_images/966574929511682049/JXDRw6UJ.jpg","View")</f>
        <v>View</v>
      </c>
    </row>
    <row r="997" spans="1:21" ht="40.799999999999997">
      <c r="A997" s="6">
        <v>43440.356759259259</v>
      </c>
      <c r="B997" s="7" t="str">
        <f>HYPERLINK("https://twitter.com/ariasvicente431","@ariasvicente431")</f>
        <v>@ariasvicente431</v>
      </c>
      <c r="C997" s="8" t="s">
        <v>4152</v>
      </c>
      <c r="D997" s="9" t="s">
        <v>4153</v>
      </c>
      <c r="E997" s="10" t="str">
        <f>HYPERLINK("https://twitter.com/ariasvicente431/status/1070582045515091968","1070582045515091968")</f>
        <v>1070582045515091968</v>
      </c>
      <c r="F997" s="11"/>
      <c r="G997" s="11"/>
      <c r="H997" s="11"/>
      <c r="I997" s="14">
        <v>4</v>
      </c>
      <c r="J997" s="14">
        <v>5</v>
      </c>
      <c r="K997" s="15" t="str">
        <f>HYPERLINK("http://twitter.com/download/android","Twitter for Android")</f>
        <v>Twitter for Android</v>
      </c>
      <c r="L997" s="14">
        <v>2587</v>
      </c>
      <c r="M997" s="14">
        <v>4130</v>
      </c>
      <c r="N997" s="14">
        <v>26</v>
      </c>
      <c r="O997" s="16"/>
      <c r="P997" s="6">
        <v>42371.335706018523</v>
      </c>
      <c r="Q997" s="12" t="s">
        <v>4155</v>
      </c>
      <c r="R997" s="17" t="s">
        <v>4156</v>
      </c>
      <c r="S997" s="11"/>
      <c r="T997" s="11"/>
      <c r="U997" s="10" t="str">
        <f>HYPERLINK("https://pbs.twimg.com/profile_images/1050998342149386240/uw8lhWr6.jpg","View")</f>
        <v>View</v>
      </c>
    </row>
    <row r="998" spans="1:21" ht="30.6">
      <c r="A998" s="6">
        <v>43440.356053240743</v>
      </c>
      <c r="B998" s="7" t="str">
        <f>HYPERLINK("https://twitter.com/CarmenMamelita","@CarmenMamelita")</f>
        <v>@CarmenMamelita</v>
      </c>
      <c r="C998" s="8" t="s">
        <v>130</v>
      </c>
      <c r="D998" s="9" t="s">
        <v>4157</v>
      </c>
      <c r="E998" s="10" t="str">
        <f>HYPERLINK("https://twitter.com/CarmenMamelita/status/1070581789092122624","1070581789092122624")</f>
        <v>1070581789092122624</v>
      </c>
      <c r="F998" s="13" t="s">
        <v>4158</v>
      </c>
      <c r="G998" s="11"/>
      <c r="H998" s="11"/>
      <c r="I998" s="14">
        <v>2</v>
      </c>
      <c r="J998" s="14">
        <v>4</v>
      </c>
      <c r="K998" s="15" t="str">
        <f>HYPERLINK("http://twitter.com/download/iphone","Twitter for iPhone")</f>
        <v>Twitter for iPhone</v>
      </c>
      <c r="L998" s="14">
        <v>750</v>
      </c>
      <c r="M998" s="14">
        <v>458</v>
      </c>
      <c r="N998" s="14">
        <v>46</v>
      </c>
      <c r="O998" s="16"/>
      <c r="P998" s="6">
        <v>41442.726643518516</v>
      </c>
      <c r="Q998" s="12" t="s">
        <v>134</v>
      </c>
      <c r="R998" s="17" t="s">
        <v>135</v>
      </c>
      <c r="S998" s="11"/>
      <c r="T998" s="11"/>
      <c r="U998" s="10" t="str">
        <f>HYPERLINK("https://pbs.twimg.com/profile_images/1063898938879676417/smD1GHbq.jpg","View")</f>
        <v>View</v>
      </c>
    </row>
    <row r="999" spans="1:21" ht="30.6">
      <c r="A999" s="6">
        <v>43440.355775462958</v>
      </c>
      <c r="B999" s="7" t="str">
        <f>HYPERLINK("https://twitter.com/JuanUsategui","@JuanUsategui")</f>
        <v>@JuanUsategui</v>
      </c>
      <c r="C999" s="8" t="s">
        <v>4160</v>
      </c>
      <c r="D999" s="9" t="s">
        <v>4161</v>
      </c>
      <c r="E999" s="10" t="str">
        <f>HYPERLINK("https://twitter.com/JuanUsategui/status/1070581687422279681","1070581687422279681")</f>
        <v>1070581687422279681</v>
      </c>
      <c r="F999" s="11"/>
      <c r="G999" s="11"/>
      <c r="H999" s="11"/>
      <c r="I999" s="14">
        <v>0</v>
      </c>
      <c r="J999" s="14">
        <v>1</v>
      </c>
      <c r="K999" s="15" t="str">
        <f>HYPERLINK("http://twitter.com/#!/download/ipad","Twitter for iPad")</f>
        <v>Twitter for iPad</v>
      </c>
      <c r="L999" s="14">
        <v>228</v>
      </c>
      <c r="M999" s="14">
        <v>667</v>
      </c>
      <c r="N999" s="14">
        <v>0</v>
      </c>
      <c r="O999" s="16"/>
      <c r="P999" s="6">
        <v>42428.040138888886</v>
      </c>
      <c r="Q999" s="12" t="s">
        <v>508</v>
      </c>
      <c r="R999" s="17" t="s">
        <v>4162</v>
      </c>
      <c r="S999" s="11"/>
      <c r="T999" s="11"/>
      <c r="U999" s="10" t="str">
        <f>HYPERLINK("https://pbs.twimg.com/profile_images/704070459042762752/SxNaT3nk.jpg","View")</f>
        <v>View</v>
      </c>
    </row>
    <row r="1000" spans="1:21" ht="51">
      <c r="A1000" s="6">
        <v>43440.353391203702</v>
      </c>
      <c r="B1000" s="7" t="str">
        <f>HYPERLINK("https://twitter.com/mimaacordoba","@mimaacordoba")</f>
        <v>@mimaacordoba</v>
      </c>
      <c r="C1000" s="8" t="s">
        <v>3511</v>
      </c>
      <c r="D1000" s="9" t="s">
        <v>3513</v>
      </c>
      <c r="E1000" s="10" t="str">
        <f>HYPERLINK("https://twitter.com/mimaacordoba/status/1070580821805973505","1070580821805973505")</f>
        <v>1070580821805973505</v>
      </c>
      <c r="F1000" s="11"/>
      <c r="G1000" s="13" t="s">
        <v>3515</v>
      </c>
      <c r="H1000" s="11"/>
      <c r="I1000" s="14">
        <v>12</v>
      </c>
      <c r="J1000" s="14">
        <v>11</v>
      </c>
      <c r="K1000" s="15" t="str">
        <f>HYPERLINK("http://twitter.com/download/iphone","Twitter for iPhone")</f>
        <v>Twitter for iPhone</v>
      </c>
      <c r="L1000" s="14">
        <v>1150</v>
      </c>
      <c r="M1000" s="14">
        <v>1541</v>
      </c>
      <c r="N1000" s="14">
        <v>5</v>
      </c>
      <c r="O1000" s="16"/>
      <c r="P1000" s="6">
        <v>42606.463240740741</v>
      </c>
      <c r="Q1000" s="12" t="s">
        <v>3386</v>
      </c>
      <c r="R1000" s="17" t="s">
        <v>3518</v>
      </c>
      <c r="S1000" s="13" t="s">
        <v>3519</v>
      </c>
      <c r="T1000" s="11"/>
      <c r="U1000" s="10" t="str">
        <f>HYPERLINK("https://pbs.twimg.com/profile_images/768375744623996928/QT5akGzP.jpg","View")</f>
        <v>View</v>
      </c>
    </row>
    <row r="1001" spans="1:21" ht="51">
      <c r="A1001" s="6">
        <v>43440.353252314817</v>
      </c>
      <c r="B1001" s="7" t="str">
        <f>HYPERLINK("https://twitter.com/jpx200","@jpx200")</f>
        <v>@jpx200</v>
      </c>
      <c r="C1001" s="8" t="s">
        <v>3524</v>
      </c>
      <c r="D1001" s="9" t="s">
        <v>3525</v>
      </c>
      <c r="E1001" s="10" t="str">
        <f>HYPERLINK("https://twitter.com/jpx200/status/1070580774481604609","1070580774481604609")</f>
        <v>1070580774481604609</v>
      </c>
      <c r="F1001" s="11"/>
      <c r="G1001" s="11"/>
      <c r="H1001" s="11"/>
      <c r="I1001" s="14">
        <v>0</v>
      </c>
      <c r="J1001" s="14">
        <v>0</v>
      </c>
      <c r="K1001" s="15" t="str">
        <f t="shared" ref="K1001:K1002" si="186">HYPERLINK("http://twitter.com/download/android","Twitter for Android")</f>
        <v>Twitter for Android</v>
      </c>
      <c r="L1001" s="14">
        <v>13</v>
      </c>
      <c r="M1001" s="14">
        <v>93</v>
      </c>
      <c r="N1001" s="14">
        <v>0</v>
      </c>
      <c r="O1001" s="16"/>
      <c r="P1001" s="6">
        <v>41867.931956018518</v>
      </c>
      <c r="Q1001" s="11"/>
      <c r="R1001" s="18"/>
      <c r="S1001" s="11"/>
      <c r="T1001" s="11"/>
      <c r="U1001" s="10" t="str">
        <f>HYPERLINK("https://pbs.twimg.com/profile_images/980355173238411265/T4vg5apF.jpg","View")</f>
        <v>View</v>
      </c>
    </row>
    <row r="1002" spans="1:21" ht="30.6">
      <c r="A1002" s="6">
        <v>43440.351458333331</v>
      </c>
      <c r="B1002" s="7" t="str">
        <f>HYPERLINK("https://twitter.com/luiserbar","@luiserbar")</f>
        <v>@luiserbar</v>
      </c>
      <c r="C1002" s="8" t="s">
        <v>4166</v>
      </c>
      <c r="D1002" s="9" t="s">
        <v>2719</v>
      </c>
      <c r="E1002" s="10" t="str">
        <f>HYPERLINK("https://twitter.com/luiserbar/status/1070580125035569152","1070580125035569152")</f>
        <v>1070580125035569152</v>
      </c>
      <c r="F1002" s="13" t="s">
        <v>4167</v>
      </c>
      <c r="G1002" s="11"/>
      <c r="H1002" s="11"/>
      <c r="I1002" s="14">
        <v>0</v>
      </c>
      <c r="J1002" s="14">
        <v>0</v>
      </c>
      <c r="K1002" s="15" t="str">
        <f t="shared" si="186"/>
        <v>Twitter for Android</v>
      </c>
      <c r="L1002" s="14">
        <v>2497</v>
      </c>
      <c r="M1002" s="14">
        <v>2519</v>
      </c>
      <c r="N1002" s="14">
        <v>95</v>
      </c>
      <c r="O1002" s="16"/>
      <c r="P1002" s="6">
        <v>40499.451585648145</v>
      </c>
      <c r="Q1002" s="12" t="s">
        <v>4168</v>
      </c>
      <c r="R1002" s="17" t="s">
        <v>4169</v>
      </c>
      <c r="S1002" s="13" t="s">
        <v>4170</v>
      </c>
      <c r="T1002" s="11"/>
      <c r="U1002" s="10" t="str">
        <f>HYPERLINK("https://pbs.twimg.com/profile_images/1070586690941669381/03EpL_vo.jpg","View")</f>
        <v>View</v>
      </c>
    </row>
    <row r="1003" spans="1:21" ht="30.6">
      <c r="A1003" s="6">
        <v>43440.350891203707</v>
      </c>
      <c r="B1003" s="7" t="str">
        <f>HYPERLINK("https://twitter.com/PBMarbeMalaga","@PBMarbeMalaga")</f>
        <v>@PBMarbeMalaga</v>
      </c>
      <c r="C1003" s="8" t="s">
        <v>618</v>
      </c>
      <c r="D1003" s="9" t="s">
        <v>4173</v>
      </c>
      <c r="E1003" s="10" t="str">
        <f>HYPERLINK("https://twitter.com/PBMarbeMalaga/status/1070579918491271170","1070579918491271170")</f>
        <v>1070579918491271170</v>
      </c>
      <c r="F1003" s="13" t="s">
        <v>4174</v>
      </c>
      <c r="G1003" s="11"/>
      <c r="H1003" s="11"/>
      <c r="I1003" s="14">
        <v>0</v>
      </c>
      <c r="J1003" s="14">
        <v>0</v>
      </c>
      <c r="K1003" s="15" t="str">
        <f>HYPERLINK("https://javitang.ddns.net","PBMarbeMalaga")</f>
        <v>PBMarbeMalaga</v>
      </c>
      <c r="L1003" s="14">
        <v>1316</v>
      </c>
      <c r="M1003" s="14">
        <v>1358</v>
      </c>
      <c r="N1003" s="14">
        <v>2</v>
      </c>
      <c r="O1003" s="16"/>
      <c r="P1003" s="6">
        <v>43149.814074074078</v>
      </c>
      <c r="Q1003" s="12" t="s">
        <v>621</v>
      </c>
      <c r="R1003" s="17" t="s">
        <v>622</v>
      </c>
      <c r="S1003" s="11"/>
      <c r="T1003" s="11"/>
      <c r="U1003" s="10" t="str">
        <f>HYPERLINK("https://pbs.twimg.com/profile_images/965296691145531392/sAFnfUu2.jpg","View")</f>
        <v>View</v>
      </c>
    </row>
    <row r="1004" spans="1:21" ht="51">
      <c r="A1004" s="6">
        <v>43440.350324074076</v>
      </c>
      <c r="B1004" s="7" t="str">
        <f>HYPERLINK("https://twitter.com/ElCuarticoPoder","@ElCuarticoPoder")</f>
        <v>@ElCuarticoPoder</v>
      </c>
      <c r="C1004" s="8" t="s">
        <v>4178</v>
      </c>
      <c r="D1004" s="9" t="s">
        <v>4179</v>
      </c>
      <c r="E1004" s="10" t="str">
        <f>HYPERLINK("https://twitter.com/ElCuarticoPoder/status/1070579711846346752","1070579711846346752")</f>
        <v>1070579711846346752</v>
      </c>
      <c r="F1004" s="13" t="s">
        <v>4180</v>
      </c>
      <c r="G1004" s="11"/>
      <c r="H1004" s="11"/>
      <c r="I1004" s="14">
        <v>0</v>
      </c>
      <c r="J1004" s="14">
        <v>0</v>
      </c>
      <c r="K1004" s="15" t="str">
        <f>HYPERLINK("https://mobile.twitter.com","Twitter Lite")</f>
        <v>Twitter Lite</v>
      </c>
      <c r="L1004" s="14">
        <v>44</v>
      </c>
      <c r="M1004" s="14">
        <v>234</v>
      </c>
      <c r="N1004" s="14">
        <v>0</v>
      </c>
      <c r="O1004" s="16"/>
      <c r="P1004" s="6">
        <v>43154.934999999998</v>
      </c>
      <c r="Q1004" s="12" t="s">
        <v>4181</v>
      </c>
      <c r="R1004" s="17" t="s">
        <v>4182</v>
      </c>
      <c r="S1004" s="13" t="s">
        <v>4184</v>
      </c>
      <c r="T1004" s="11"/>
      <c r="U1004" s="10" t="str">
        <f>HYPERLINK("https://pbs.twimg.com/profile_images/976934059468378112/7GS4yxAk.jpg","View")</f>
        <v>View</v>
      </c>
    </row>
    <row r="1005" spans="1:21" ht="30.6">
      <c r="A1005" s="6">
        <v>43440.350057870368</v>
      </c>
      <c r="B1005" s="7" t="str">
        <f>HYPERLINK("https://twitter.com/EmiliAviles","@EmiliAviles")</f>
        <v>@EmiliAviles</v>
      </c>
      <c r="C1005" s="8" t="s">
        <v>4186</v>
      </c>
      <c r="D1005" s="9" t="s">
        <v>4187</v>
      </c>
      <c r="E1005" s="10" t="str">
        <f>HYPERLINK("https://twitter.com/EmiliAviles/status/1070579614882385920","1070579614882385920")</f>
        <v>1070579614882385920</v>
      </c>
      <c r="F1005" s="13" t="s">
        <v>4189</v>
      </c>
      <c r="G1005" s="11"/>
      <c r="H1005" s="11"/>
      <c r="I1005" s="14">
        <v>0</v>
      </c>
      <c r="J1005" s="14">
        <v>0</v>
      </c>
      <c r="K1005" s="15" t="str">
        <f>HYPERLINK("http://twitter.com/download/android","Twitter for Android")</f>
        <v>Twitter for Android</v>
      </c>
      <c r="L1005" s="14">
        <v>2362</v>
      </c>
      <c r="M1005" s="14">
        <v>2394</v>
      </c>
      <c r="N1005" s="14">
        <v>84</v>
      </c>
      <c r="O1005" s="16"/>
      <c r="P1005" s="6">
        <v>40602.846354166664</v>
      </c>
      <c r="Q1005" s="11"/>
      <c r="R1005" s="17" t="s">
        <v>4190</v>
      </c>
      <c r="S1005" s="11"/>
      <c r="T1005" s="11"/>
      <c r="U1005" s="10" t="str">
        <f>HYPERLINK("https://pbs.twimg.com/profile_images/901769877794553856/rxzKjMWY.jpg","View")</f>
        <v>View</v>
      </c>
    </row>
    <row r="1006" spans="1:21" ht="61.2">
      <c r="A1006" s="6">
        <v>43440.34778935185</v>
      </c>
      <c r="B1006" s="7" t="str">
        <f>HYPERLINK("https://twitter.com/Pasto_es_verde","@Pasto_es_verde")</f>
        <v>@Pasto_es_verde</v>
      </c>
      <c r="C1006" s="8" t="s">
        <v>3531</v>
      </c>
      <c r="D1006" s="9" t="s">
        <v>3532</v>
      </c>
      <c r="E1006" s="10" t="str">
        <f>HYPERLINK("https://twitter.com/Pasto_es_verde/status/1070578791825793024","1070578791825793024")</f>
        <v>1070578791825793024</v>
      </c>
      <c r="F1006" s="13" t="s">
        <v>3536</v>
      </c>
      <c r="G1006" s="13" t="s">
        <v>3537</v>
      </c>
      <c r="H1006" s="11"/>
      <c r="I1006" s="14">
        <v>4</v>
      </c>
      <c r="J1006" s="14">
        <v>2</v>
      </c>
      <c r="K1006" s="15" t="str">
        <f>HYPERLINK("https://mobile.twitter.com","Twitter Lite")</f>
        <v>Twitter Lite</v>
      </c>
      <c r="L1006" s="14">
        <v>262</v>
      </c>
      <c r="M1006" s="14">
        <v>327</v>
      </c>
      <c r="N1006" s="14">
        <v>16</v>
      </c>
      <c r="O1006" s="16"/>
      <c r="P1006" s="6">
        <v>40424.621192129627</v>
      </c>
      <c r="Q1006" s="12" t="s">
        <v>187</v>
      </c>
      <c r="R1006" s="17" t="s">
        <v>3540</v>
      </c>
      <c r="S1006" s="11"/>
      <c r="T1006" s="11"/>
      <c r="U1006" s="10" t="str">
        <f>HYPERLINK("https://pbs.twimg.com/profile_images/1057695601075384320/6XTBGhcw.jpg","View")</f>
        <v>View</v>
      </c>
    </row>
    <row r="1007" spans="1:21" ht="51">
      <c r="A1007" s="6">
        <v>43440.3441087963</v>
      </c>
      <c r="B1007" s="7" t="str">
        <f>HYPERLINK("https://twitter.com/YoyoStavrosEgea","@YoyoStavrosEgea")</f>
        <v>@YoyoStavrosEgea</v>
      </c>
      <c r="C1007" s="8" t="s">
        <v>3542</v>
      </c>
      <c r="D1007" s="9" t="s">
        <v>3543</v>
      </c>
      <c r="E1007" s="10" t="str">
        <f>HYPERLINK("https://twitter.com/YoyoStavrosEgea/status/1070577460822073344","1070577460822073344")</f>
        <v>1070577460822073344</v>
      </c>
      <c r="F1007" s="13" t="s">
        <v>3544</v>
      </c>
      <c r="G1007" s="11"/>
      <c r="H1007" s="11"/>
      <c r="I1007" s="14">
        <v>0</v>
      </c>
      <c r="J1007" s="14">
        <v>0</v>
      </c>
      <c r="K1007" s="15" t="str">
        <f>HYPERLINK("http://twitter.com/download/iphone","Twitter for iPhone")</f>
        <v>Twitter for iPhone</v>
      </c>
      <c r="L1007" s="14">
        <v>387</v>
      </c>
      <c r="M1007" s="14">
        <v>901</v>
      </c>
      <c r="N1007" s="14">
        <v>9</v>
      </c>
      <c r="O1007" s="16"/>
      <c r="P1007" s="6">
        <v>40577.400555555556</v>
      </c>
      <c r="Q1007" s="11"/>
      <c r="R1007" s="17" t="s">
        <v>3545</v>
      </c>
      <c r="S1007" s="11"/>
      <c r="T1007" s="11"/>
      <c r="U1007" s="10" t="str">
        <f>HYPERLINK("https://pbs.twimg.com/profile_images/1030133827274981377/aexxKSgH.jpg","View")</f>
        <v>View</v>
      </c>
    </row>
    <row r="1008" spans="1:21" ht="30.6">
      <c r="A1008" s="6">
        <v>43440.343657407408</v>
      </c>
      <c r="B1008" s="7" t="str">
        <f>HYPERLINK("https://twitter.com/marquezsergio09","@marquezsergio09")</f>
        <v>@marquezsergio09</v>
      </c>
      <c r="C1008" s="8" t="s">
        <v>3488</v>
      </c>
      <c r="D1008" s="9" t="s">
        <v>3546</v>
      </c>
      <c r="E1008" s="10" t="str">
        <f>HYPERLINK("https://twitter.com/marquezsergio09/status/1070577297827225601","1070577297827225601")</f>
        <v>1070577297827225601</v>
      </c>
      <c r="F1008" s="11"/>
      <c r="G1008" s="11"/>
      <c r="H1008" s="11"/>
      <c r="I1008" s="14">
        <v>1</v>
      </c>
      <c r="J1008" s="14">
        <v>2</v>
      </c>
      <c r="K1008" s="15" t="str">
        <f t="shared" ref="K1008:K1009" si="187">HYPERLINK("http://twitter.com/download/android","Twitter for Android")</f>
        <v>Twitter for Android</v>
      </c>
      <c r="L1008" s="14">
        <v>509</v>
      </c>
      <c r="M1008" s="14">
        <v>1013</v>
      </c>
      <c r="N1008" s="14">
        <v>0</v>
      </c>
      <c r="O1008" s="16"/>
      <c r="P1008" s="6">
        <v>42740.647418981476</v>
      </c>
      <c r="Q1008" s="12" t="s">
        <v>602</v>
      </c>
      <c r="R1008" s="17" t="s">
        <v>3493</v>
      </c>
      <c r="S1008" s="11"/>
      <c r="T1008" s="11"/>
      <c r="U1008" s="10" t="str">
        <f>HYPERLINK("https://pbs.twimg.com/profile_images/1063280678782058497/HVuBkRi2.jpg","View")</f>
        <v>View</v>
      </c>
    </row>
    <row r="1009" spans="1:21" ht="30.6">
      <c r="A1009" s="6">
        <v>43440.343645833331</v>
      </c>
      <c r="B1009" s="7" t="str">
        <f>HYPERLINK("https://twitter.com/CarmenFrnz","@CarmenFrnz")</f>
        <v>@CarmenFrnz</v>
      </c>
      <c r="C1009" s="8" t="s">
        <v>4206</v>
      </c>
      <c r="D1009" s="9" t="s">
        <v>4207</v>
      </c>
      <c r="E1009" s="10" t="str">
        <f>HYPERLINK("https://twitter.com/CarmenFrnz/status/1070577290508165122","1070577290508165122")</f>
        <v>1070577290508165122</v>
      </c>
      <c r="F1009" s="11"/>
      <c r="G1009" s="11"/>
      <c r="H1009" s="11"/>
      <c r="I1009" s="14">
        <v>0</v>
      </c>
      <c r="J1009" s="14">
        <v>2</v>
      </c>
      <c r="K1009" s="15" t="str">
        <f t="shared" si="187"/>
        <v>Twitter for Android</v>
      </c>
      <c r="L1009" s="14">
        <v>41</v>
      </c>
      <c r="M1009" s="14">
        <v>61</v>
      </c>
      <c r="N1009" s="14">
        <v>2</v>
      </c>
      <c r="O1009" s="16"/>
      <c r="P1009" s="6">
        <v>42576.694074074076</v>
      </c>
      <c r="Q1009" s="11"/>
      <c r="R1009" s="18"/>
      <c r="S1009" s="11"/>
      <c r="T1009" s="11"/>
      <c r="U1009" s="10" t="str">
        <f>HYPERLINK("https://pbs.twimg.com/profile_images/938851845254074368/Jkt2c_xQ.jpg","View")</f>
        <v>View</v>
      </c>
    </row>
    <row r="1010" spans="1:21" ht="51">
      <c r="A1010" s="6">
        <v>43440.338078703702</v>
      </c>
      <c r="B1010" s="7" t="str">
        <f>HYPERLINK("https://twitter.com/trendinaliaES","@trendinaliaES")</f>
        <v>@trendinaliaES</v>
      </c>
      <c r="C1010" s="8" t="s">
        <v>1697</v>
      </c>
      <c r="D1010" s="9" t="s">
        <v>3552</v>
      </c>
      <c r="E1010" s="10" t="str">
        <f>HYPERLINK("https://twitter.com/trendinaliaES/status/1070575273542733824","1070575273542733824")</f>
        <v>1070575273542733824</v>
      </c>
      <c r="F1010" s="13" t="s">
        <v>3553</v>
      </c>
      <c r="G1010" s="11"/>
      <c r="H1010" s="11" t="str">
        <f>HYPERLINK("https://ctrlq.org/maps/address/#40.4203,-3.7058","Map")</f>
        <v>Map</v>
      </c>
      <c r="I1010" s="14">
        <v>0</v>
      </c>
      <c r="J1010" s="14">
        <v>0</v>
      </c>
      <c r="K1010" s="15" t="str">
        <f>HYPERLINK("http://laconversa.com","Es Tendencia en España")</f>
        <v>Es Tendencia en España</v>
      </c>
      <c r="L1010" s="14">
        <v>49257</v>
      </c>
      <c r="M1010" s="14">
        <v>34</v>
      </c>
      <c r="N1010" s="14">
        <v>722</v>
      </c>
      <c r="O1010" s="19" t="s">
        <v>42</v>
      </c>
      <c r="P1010" s="6">
        <v>41319.819074074076</v>
      </c>
      <c r="Q1010" s="12" t="s">
        <v>137</v>
      </c>
      <c r="R1010" s="17" t="s">
        <v>1700</v>
      </c>
      <c r="S1010" s="13" t="s">
        <v>1701</v>
      </c>
      <c r="T1010" s="11"/>
      <c r="U1010" s="10" t="str">
        <f>HYPERLINK("https://pbs.twimg.com/profile_images/696485210821632000/xpdMQ_mE.png","View")</f>
        <v>View</v>
      </c>
    </row>
    <row r="1011" spans="1:21" ht="51">
      <c r="A1011" s="6">
        <v>43440.334722222222</v>
      </c>
      <c r="B1011" s="7" t="str">
        <f t="shared" ref="B1011:B1012" si="188">HYPERLINK("https://twitter.com/bitMomentum","@bitMomentum")</f>
        <v>@bitMomentum</v>
      </c>
      <c r="C1011" s="8" t="s">
        <v>1889</v>
      </c>
      <c r="D1011" s="9" t="s">
        <v>3554</v>
      </c>
      <c r="E1011" s="10" t="str">
        <f>HYPERLINK("https://twitter.com/bitMomentum/status/1070574057098227714","1070574057098227714")</f>
        <v>1070574057098227714</v>
      </c>
      <c r="F1011" s="11"/>
      <c r="G1011" s="11"/>
      <c r="H1011" s="11"/>
      <c r="I1011" s="14">
        <v>0</v>
      </c>
      <c r="J1011" s="14">
        <v>1</v>
      </c>
      <c r="K1011" s="15" t="str">
        <f t="shared" ref="K1011:K1012" si="189">HYPERLINK("http://www.bitmomentum.com","bitMomentum Bot")</f>
        <v>bitMomentum Bot</v>
      </c>
      <c r="L1011" s="14">
        <v>10254</v>
      </c>
      <c r="M1011" s="14">
        <v>1059</v>
      </c>
      <c r="N1011" s="14">
        <v>263</v>
      </c>
      <c r="O1011" s="16"/>
      <c r="P1011" s="6">
        <v>41608.667511574073</v>
      </c>
      <c r="Q1011" s="11"/>
      <c r="R1011" s="17" t="s">
        <v>1897</v>
      </c>
      <c r="S1011" s="13" t="s">
        <v>1898</v>
      </c>
      <c r="T1011" s="11"/>
      <c r="U1011" s="10" t="str">
        <f t="shared" ref="U1011:U1012" si="190">HYPERLINK("https://pbs.twimg.com/profile_images/378800000862185241/20ij2H3u.png","View")</f>
        <v>View</v>
      </c>
    </row>
    <row r="1012" spans="1:21" ht="51">
      <c r="A1012" s="6">
        <v>43440.334027777775</v>
      </c>
      <c r="B1012" s="7" t="str">
        <f t="shared" si="188"/>
        <v>@bitMomentum</v>
      </c>
      <c r="C1012" s="8" t="s">
        <v>1889</v>
      </c>
      <c r="D1012" s="9" t="s">
        <v>3560</v>
      </c>
      <c r="E1012" s="10" t="str">
        <f>HYPERLINK("https://twitter.com/bitMomentum/status/1070573805439995905","1070573805439995905")</f>
        <v>1070573805439995905</v>
      </c>
      <c r="F1012" s="11"/>
      <c r="G1012" s="11"/>
      <c r="H1012" s="11"/>
      <c r="I1012" s="14">
        <v>0</v>
      </c>
      <c r="J1012" s="14">
        <v>1</v>
      </c>
      <c r="K1012" s="15" t="str">
        <f t="shared" si="189"/>
        <v>bitMomentum Bot</v>
      </c>
      <c r="L1012" s="14">
        <v>10254</v>
      </c>
      <c r="M1012" s="14">
        <v>1059</v>
      </c>
      <c r="N1012" s="14">
        <v>263</v>
      </c>
      <c r="O1012" s="16"/>
      <c r="P1012" s="6">
        <v>41608.667511574073</v>
      </c>
      <c r="Q1012" s="11"/>
      <c r="R1012" s="17" t="s">
        <v>1897</v>
      </c>
      <c r="S1012" s="13" t="s">
        <v>1898</v>
      </c>
      <c r="T1012" s="11"/>
      <c r="U1012" s="10" t="str">
        <f t="shared" si="190"/>
        <v>View</v>
      </c>
    </row>
    <row r="1013" spans="1:21" ht="51">
      <c r="A1013" s="6">
        <v>43440.330706018518</v>
      </c>
      <c r="B1013" s="7" t="str">
        <f>HYPERLINK("https://twitter.com/smerlapeke","@smerlapeke")</f>
        <v>@smerlapeke</v>
      </c>
      <c r="C1013" s="8" t="s">
        <v>3561</v>
      </c>
      <c r="D1013" s="9" t="s">
        <v>3562</v>
      </c>
      <c r="E1013" s="10" t="str">
        <f>HYPERLINK("https://twitter.com/smerlapeke/status/1070572603360845824","1070572603360845824")</f>
        <v>1070572603360845824</v>
      </c>
      <c r="F1013" s="12" t="s">
        <v>2443</v>
      </c>
      <c r="G1013" s="11"/>
      <c r="H1013" s="11"/>
      <c r="I1013" s="14">
        <v>0</v>
      </c>
      <c r="J1013" s="14">
        <v>0</v>
      </c>
      <c r="K1013" s="15" t="str">
        <f t="shared" ref="K1013:K1014" si="191">HYPERLINK("http://twitter.com/download/android","Twitter for Android")</f>
        <v>Twitter for Android</v>
      </c>
      <c r="L1013" s="14">
        <v>55</v>
      </c>
      <c r="M1013" s="14">
        <v>15</v>
      </c>
      <c r="N1013" s="14">
        <v>0</v>
      </c>
      <c r="O1013" s="16"/>
      <c r="P1013" s="6">
        <v>42928.821562500001</v>
      </c>
      <c r="Q1013" s="11"/>
      <c r="R1013" s="17" t="s">
        <v>3563</v>
      </c>
      <c r="S1013" s="11"/>
      <c r="T1013" s="11"/>
      <c r="U1013" s="10" t="str">
        <f>HYPERLINK("https://pbs.twimg.com/profile_images/1060559817562120193/Be0eDFAi.jpg","View")</f>
        <v>View</v>
      </c>
    </row>
    <row r="1014" spans="1:21" ht="51">
      <c r="A1014" s="6">
        <v>43440.330312499995</v>
      </c>
      <c r="B1014" s="7" t="str">
        <f>HYPERLINK("https://twitter.com/Yaglind","@Yaglind")</f>
        <v>@Yaglind</v>
      </c>
      <c r="C1014" s="8" t="s">
        <v>3566</v>
      </c>
      <c r="D1014" s="9" t="s">
        <v>3567</v>
      </c>
      <c r="E1014" s="10" t="str">
        <f>HYPERLINK("https://twitter.com/Yaglind/status/1070572462188957697","1070572462188957697")</f>
        <v>1070572462188957697</v>
      </c>
      <c r="F1014" s="11"/>
      <c r="G1014" s="11"/>
      <c r="H1014" s="11"/>
      <c r="I1014" s="14">
        <v>0</v>
      </c>
      <c r="J1014" s="14">
        <v>0</v>
      </c>
      <c r="K1014" s="15" t="str">
        <f t="shared" si="191"/>
        <v>Twitter for Android</v>
      </c>
      <c r="L1014" s="14">
        <v>18</v>
      </c>
      <c r="M1014" s="14">
        <v>132</v>
      </c>
      <c r="N1014" s="14">
        <v>0</v>
      </c>
      <c r="O1014" s="16"/>
      <c r="P1014" s="6">
        <v>43394.676250000004</v>
      </c>
      <c r="Q1014" s="12" t="s">
        <v>1785</v>
      </c>
      <c r="R1014" s="17" t="s">
        <v>3568</v>
      </c>
      <c r="S1014" s="11"/>
      <c r="T1014" s="11"/>
      <c r="U1014" s="10" t="str">
        <f>HYPERLINK("https://pbs.twimg.com/profile_images/1054015071557509121/stpstynE.jpg","View")</f>
        <v>View</v>
      </c>
    </row>
    <row r="1015" spans="1:21" ht="30.6">
      <c r="A1015" s="6">
        <v>43440.329918981486</v>
      </c>
      <c r="B1015" s="7" t="str">
        <f>HYPERLINK("https://twitter.com/UrretaJorge","@UrretaJorge")</f>
        <v>@UrretaJorge</v>
      </c>
      <c r="C1015" s="8" t="s">
        <v>4226</v>
      </c>
      <c r="D1015" s="9" t="s">
        <v>4228</v>
      </c>
      <c r="E1015" s="10" t="str">
        <f>HYPERLINK("https://twitter.com/UrretaJorge/status/1070572318198444033","1070572318198444033")</f>
        <v>1070572318198444033</v>
      </c>
      <c r="F1015" s="13" t="s">
        <v>4230</v>
      </c>
      <c r="G1015" s="13" t="s">
        <v>4231</v>
      </c>
      <c r="H1015" s="11"/>
      <c r="I1015" s="14">
        <v>0</v>
      </c>
      <c r="J1015" s="14">
        <v>0</v>
      </c>
      <c r="K1015" s="15" t="str">
        <f>HYPERLINK("https://dlvrit.com/","dlvr.it")</f>
        <v>dlvr.it</v>
      </c>
      <c r="L1015" s="14">
        <v>6180</v>
      </c>
      <c r="M1015" s="14">
        <v>6333</v>
      </c>
      <c r="N1015" s="14">
        <v>116</v>
      </c>
      <c r="O1015" s="16"/>
      <c r="P1015" s="6">
        <v>41216.774305555555</v>
      </c>
      <c r="Q1015" s="12" t="s">
        <v>4233</v>
      </c>
      <c r="R1015" s="17" t="s">
        <v>4234</v>
      </c>
      <c r="S1015" s="13" t="s">
        <v>4235</v>
      </c>
      <c r="T1015" s="11"/>
      <c r="U1015" s="10" t="str">
        <f>HYPERLINK("https://pbs.twimg.com/profile_images/636651341385965569/1AdINThO.jpg","View")</f>
        <v>View</v>
      </c>
    </row>
    <row r="1016" spans="1:21" ht="51">
      <c r="A1016" s="6">
        <v>43440.328576388885</v>
      </c>
      <c r="B1016" s="7" t="str">
        <f>HYPERLINK("https://twitter.com/UlisesGamez10","@UlisesGamez10")</f>
        <v>@UlisesGamez10</v>
      </c>
      <c r="C1016" s="8" t="s">
        <v>3569</v>
      </c>
      <c r="D1016" s="9" t="s">
        <v>3570</v>
      </c>
      <c r="E1016" s="10" t="str">
        <f>HYPERLINK("https://twitter.com/UlisesGamez10/status/1070571830933622784","1070571830933622784")</f>
        <v>1070571830933622784</v>
      </c>
      <c r="F1016" s="11"/>
      <c r="G1016" s="11"/>
      <c r="H1016" s="11"/>
      <c r="I1016" s="14">
        <v>0</v>
      </c>
      <c r="J1016" s="14">
        <v>0</v>
      </c>
      <c r="K1016" s="15" t="str">
        <f>HYPERLINK("http://twitter.com/download/android","Twitter for Android")</f>
        <v>Twitter for Android</v>
      </c>
      <c r="L1016" s="14">
        <v>1184</v>
      </c>
      <c r="M1016" s="14">
        <v>5002</v>
      </c>
      <c r="N1016" s="14">
        <v>0</v>
      </c>
      <c r="O1016" s="16"/>
      <c r="P1016" s="6">
        <v>43190.59783564815</v>
      </c>
      <c r="Q1016" s="12" t="s">
        <v>3571</v>
      </c>
      <c r="R1016" s="17" t="s">
        <v>3572</v>
      </c>
      <c r="S1016" s="11"/>
      <c r="T1016" s="11"/>
      <c r="U1016" s="10" t="str">
        <f>HYPERLINK("https://pbs.twimg.com/profile_images/1068881444196499456/MCgxp2WR.jpg","View")</f>
        <v>View</v>
      </c>
    </row>
    <row r="1017" spans="1:21" ht="61.2">
      <c r="A1017" s="6">
        <v>43440.326585648145</v>
      </c>
      <c r="B1017" s="7" t="str">
        <f>HYPERLINK("https://twitter.com/Arezno","@Arezno")</f>
        <v>@Arezno</v>
      </c>
      <c r="C1017" s="8" t="s">
        <v>4243</v>
      </c>
      <c r="D1017" s="9" t="s">
        <v>4245</v>
      </c>
      <c r="E1017" s="10" t="str">
        <f>HYPERLINK("https://twitter.com/Arezno/status/1070571109366534144","1070571109366534144")</f>
        <v>1070571109366534144</v>
      </c>
      <c r="F1017" s="12" t="s">
        <v>4247</v>
      </c>
      <c r="G1017" s="11"/>
      <c r="H1017" s="11"/>
      <c r="I1017" s="14">
        <v>5</v>
      </c>
      <c r="J1017" s="14">
        <v>18</v>
      </c>
      <c r="K1017" s="15" t="str">
        <f>HYPERLINK("http://twitter.com","Twitter Web Client")</f>
        <v>Twitter Web Client</v>
      </c>
      <c r="L1017" s="14">
        <v>51739</v>
      </c>
      <c r="M1017" s="14">
        <v>1988</v>
      </c>
      <c r="N1017" s="14">
        <v>1208</v>
      </c>
      <c r="O1017" s="16"/>
      <c r="P1017" s="6">
        <v>39593.610243055555</v>
      </c>
      <c r="Q1017" s="12" t="s">
        <v>4250</v>
      </c>
      <c r="R1017" s="17" t="s">
        <v>4251</v>
      </c>
      <c r="S1017" s="13" t="s">
        <v>4252</v>
      </c>
      <c r="T1017" s="11"/>
      <c r="U1017" s="10" t="str">
        <f>HYPERLINK("https://pbs.twimg.com/profile_images/892420921042055170/muiAu5BI.jpg","View")</f>
        <v>View</v>
      </c>
    </row>
    <row r="1018" spans="1:21" ht="20.399999999999999">
      <c r="A1018" s="6">
        <v>43440.324432870373</v>
      </c>
      <c r="B1018" s="7" t="str">
        <f>HYPERLINK("https://twitter.com/JcsCatalunya","@JcsCatalunya")</f>
        <v>@JcsCatalunya</v>
      </c>
      <c r="C1018" s="8" t="s">
        <v>3573</v>
      </c>
      <c r="D1018" s="9" t="s">
        <v>3574</v>
      </c>
      <c r="E1018" s="10" t="str">
        <f>HYPERLINK("https://twitter.com/JcsCatalunya/status/1070570329045639168","1070570329045639168")</f>
        <v>1070570329045639168</v>
      </c>
      <c r="F1018" s="11"/>
      <c r="G1018" s="13" t="s">
        <v>3575</v>
      </c>
      <c r="H1018" s="11"/>
      <c r="I1018" s="14">
        <v>6</v>
      </c>
      <c r="J1018" s="14">
        <v>12</v>
      </c>
      <c r="K1018" s="15" t="str">
        <f t="shared" ref="K1018:K1019" si="192">HYPERLINK("http://twitter.com/download/iphone","Twitter for iPhone")</f>
        <v>Twitter for iPhone</v>
      </c>
      <c r="L1018" s="14">
        <v>1011</v>
      </c>
      <c r="M1018" s="14">
        <v>393</v>
      </c>
      <c r="N1018" s="14">
        <v>5</v>
      </c>
      <c r="O1018" s="16"/>
      <c r="P1018" s="6">
        <v>42846.684479166666</v>
      </c>
      <c r="Q1018" s="11"/>
      <c r="R1018" s="17" t="s">
        <v>3576</v>
      </c>
      <c r="S1018" s="11"/>
      <c r="T1018" s="11"/>
      <c r="U1018" s="10" t="str">
        <f>HYPERLINK("https://pbs.twimg.com/profile_images/1053596557726105600/Y_xd_d57.jpg","View")</f>
        <v>View</v>
      </c>
    </row>
    <row r="1019" spans="1:21" ht="81.599999999999994">
      <c r="A1019" s="6">
        <v>43440.324189814812</v>
      </c>
      <c r="B1019" s="7" t="str">
        <f>HYPERLINK("https://twitter.com/Enmanuel_RF","@Enmanuel_RF")</f>
        <v>@Enmanuel_RF</v>
      </c>
      <c r="C1019" s="8" t="s">
        <v>3577</v>
      </c>
      <c r="D1019" s="9" t="s">
        <v>3578</v>
      </c>
      <c r="E1019" s="10" t="str">
        <f>HYPERLINK("https://twitter.com/Enmanuel_RF/status/1070570240399077376","1070570240399077376")</f>
        <v>1070570240399077376</v>
      </c>
      <c r="F1019" s="12" t="s">
        <v>1244</v>
      </c>
      <c r="G1019" s="11"/>
      <c r="H1019" s="11"/>
      <c r="I1019" s="14">
        <v>4</v>
      </c>
      <c r="J1019" s="14">
        <v>5</v>
      </c>
      <c r="K1019" s="15" t="str">
        <f t="shared" si="192"/>
        <v>Twitter for iPhone</v>
      </c>
      <c r="L1019" s="14">
        <v>2201</v>
      </c>
      <c r="M1019" s="14">
        <v>924</v>
      </c>
      <c r="N1019" s="14">
        <v>112</v>
      </c>
      <c r="O1019" s="16"/>
      <c r="P1019" s="6">
        <v>40120.071886574078</v>
      </c>
      <c r="Q1019" s="12" t="s">
        <v>3579</v>
      </c>
      <c r="R1019" s="17" t="s">
        <v>3580</v>
      </c>
      <c r="S1019" s="13" t="s">
        <v>3581</v>
      </c>
      <c r="T1019" s="11"/>
      <c r="U1019" s="10" t="str">
        <f>HYPERLINK("https://pbs.twimg.com/profile_images/898450804713172992/EKKXUTPG.jpg","View")</f>
        <v>View</v>
      </c>
    </row>
    <row r="1020" spans="1:21" ht="40.799999999999997">
      <c r="A1020" s="6">
        <v>43440.310289351852</v>
      </c>
      <c r="B1020" s="7" t="str">
        <f t="shared" ref="B1020:B1021" si="193">HYPERLINK("https://twitter.com/racle7","@racle7")</f>
        <v>@racle7</v>
      </c>
      <c r="C1020" s="8" t="s">
        <v>4268</v>
      </c>
      <c r="D1020" s="9" t="s">
        <v>4269</v>
      </c>
      <c r="E1020" s="10" t="str">
        <f>HYPERLINK("https://twitter.com/racle7/status/1070565205451726848","1070565205451726848")</f>
        <v>1070565205451726848</v>
      </c>
      <c r="F1020" s="13" t="s">
        <v>4270</v>
      </c>
      <c r="G1020" s="11"/>
      <c r="H1020" s="11"/>
      <c r="I1020" s="14">
        <v>0</v>
      </c>
      <c r="J1020" s="14">
        <v>0</v>
      </c>
      <c r="K1020" s="15" t="str">
        <f t="shared" ref="K1020:K1021" si="194">HYPERLINK("http://twitter.com","Twitter Web Client")</f>
        <v>Twitter Web Client</v>
      </c>
      <c r="L1020" s="14">
        <v>2717</v>
      </c>
      <c r="M1020" s="14">
        <v>2769</v>
      </c>
      <c r="N1020" s="14">
        <v>51</v>
      </c>
      <c r="O1020" s="16"/>
      <c r="P1020" s="6">
        <v>40457.914456018516</v>
      </c>
      <c r="Q1020" s="11"/>
      <c r="R1020" s="17" t="s">
        <v>4273</v>
      </c>
      <c r="S1020" s="11"/>
      <c r="T1020" s="11"/>
      <c r="U1020" s="10" t="str">
        <f t="shared" ref="U1020:U1021" si="195">HYPERLINK("https://pbs.twimg.com/profile_images/2103468825/1498.gif","View")</f>
        <v>View</v>
      </c>
    </row>
    <row r="1021" spans="1:21" ht="40.799999999999997">
      <c r="A1021" s="6">
        <v>43440.310219907406</v>
      </c>
      <c r="B1021" s="7" t="str">
        <f t="shared" si="193"/>
        <v>@racle7</v>
      </c>
      <c r="C1021" s="8" t="s">
        <v>4268</v>
      </c>
      <c r="D1021" s="9" t="s">
        <v>4275</v>
      </c>
      <c r="E1021" s="10" t="str">
        <f>HYPERLINK("https://twitter.com/racle7/status/1070565180537536512","1070565180537536512")</f>
        <v>1070565180537536512</v>
      </c>
      <c r="F1021" s="13" t="s">
        <v>4270</v>
      </c>
      <c r="G1021" s="11"/>
      <c r="H1021" s="11"/>
      <c r="I1021" s="14">
        <v>0</v>
      </c>
      <c r="J1021" s="14">
        <v>0</v>
      </c>
      <c r="K1021" s="15" t="str">
        <f t="shared" si="194"/>
        <v>Twitter Web Client</v>
      </c>
      <c r="L1021" s="14">
        <v>2717</v>
      </c>
      <c r="M1021" s="14">
        <v>2769</v>
      </c>
      <c r="N1021" s="14">
        <v>51</v>
      </c>
      <c r="O1021" s="16"/>
      <c r="P1021" s="6">
        <v>40457.914456018516</v>
      </c>
      <c r="Q1021" s="11"/>
      <c r="R1021" s="17" t="s">
        <v>4273</v>
      </c>
      <c r="S1021" s="11"/>
      <c r="T1021" s="11"/>
      <c r="U1021" s="10" t="str">
        <f t="shared" si="195"/>
        <v>View</v>
      </c>
    </row>
    <row r="1022" spans="1:21" ht="102">
      <c r="A1022" s="6">
        <v>43440.305474537032</v>
      </c>
      <c r="B1022" s="7" t="str">
        <f>HYPERLINK("https://twitter.com/jeronimoaznar","@jeronimoaznar")</f>
        <v>@jeronimoaznar</v>
      </c>
      <c r="C1022" s="8" t="s">
        <v>976</v>
      </c>
      <c r="D1022" s="9" t="s">
        <v>3582</v>
      </c>
      <c r="E1022" s="10" t="str">
        <f>HYPERLINK("https://twitter.com/jeronimoaznar/status/1070563459664879616","1070563459664879616")</f>
        <v>1070563459664879616</v>
      </c>
      <c r="F1022" s="13" t="s">
        <v>3583</v>
      </c>
      <c r="G1022" s="13" t="s">
        <v>3584</v>
      </c>
      <c r="H1022" s="11"/>
      <c r="I1022" s="14">
        <v>0</v>
      </c>
      <c r="J1022" s="14">
        <v>0</v>
      </c>
      <c r="K1022" s="15" t="str">
        <f>HYPERLINK("http://twitter.com/download/android","Twitter for Android")</f>
        <v>Twitter for Android</v>
      </c>
      <c r="L1022" s="14">
        <v>59</v>
      </c>
      <c r="M1022" s="14">
        <v>99</v>
      </c>
      <c r="N1022" s="14">
        <v>0</v>
      </c>
      <c r="O1022" s="16"/>
      <c r="P1022" s="6">
        <v>40599.709803240738</v>
      </c>
      <c r="Q1022" s="12" t="s">
        <v>979</v>
      </c>
      <c r="R1022" s="18"/>
      <c r="S1022" s="11"/>
      <c r="T1022" s="11"/>
      <c r="U1022" s="10" t="str">
        <f>HYPERLINK("https://pbs.twimg.com/profile_images/1067748687265316864/jfTgUoYF.jpg","View")</f>
        <v>View</v>
      </c>
    </row>
    <row r="1023" spans="1:21" ht="40.799999999999997">
      <c r="A1023" s="6">
        <v>43440.3050462963</v>
      </c>
      <c r="B1023" s="7" t="str">
        <f>HYPERLINK("https://twitter.com/riduran_p","@riduran_p")</f>
        <v>@riduran_p</v>
      </c>
      <c r="C1023" s="8" t="s">
        <v>3585</v>
      </c>
      <c r="D1023" s="9" t="s">
        <v>3586</v>
      </c>
      <c r="E1023" s="10" t="str">
        <f>HYPERLINK("https://twitter.com/riduran_p/status/1070563302441447424","1070563302441447424")</f>
        <v>1070563302441447424</v>
      </c>
      <c r="F1023" s="11"/>
      <c r="G1023" s="11"/>
      <c r="H1023" s="11"/>
      <c r="I1023" s="14">
        <v>1</v>
      </c>
      <c r="J1023" s="14">
        <v>2</v>
      </c>
      <c r="K1023" s="15" t="str">
        <f>HYPERLINK("http://twitter.com","Twitter Web Client")</f>
        <v>Twitter Web Client</v>
      </c>
      <c r="L1023" s="14">
        <v>8543</v>
      </c>
      <c r="M1023" s="14">
        <v>7522</v>
      </c>
      <c r="N1023" s="14">
        <v>22</v>
      </c>
      <c r="O1023" s="16"/>
      <c r="P1023" s="6">
        <v>40678.594918981486</v>
      </c>
      <c r="Q1023" s="12" t="s">
        <v>1398</v>
      </c>
      <c r="R1023" s="17" t="s">
        <v>3587</v>
      </c>
      <c r="S1023" s="13" t="s">
        <v>3588</v>
      </c>
      <c r="T1023" s="11"/>
      <c r="U1023" s="10" t="str">
        <f>HYPERLINK("https://pbs.twimg.com/profile_images/972822677244272640/23HaWXad.jpg","View")</f>
        <v>View</v>
      </c>
    </row>
    <row r="1024" spans="1:21" ht="40.799999999999997">
      <c r="A1024" s="6">
        <v>43440.302175925928</v>
      </c>
      <c r="B1024" s="7" t="str">
        <f>HYPERLINK("https://twitter.com/lextresabogados","@lextresabogados")</f>
        <v>@lextresabogados</v>
      </c>
      <c r="C1024" s="8" t="s">
        <v>26</v>
      </c>
      <c r="D1024" s="9" t="s">
        <v>4279</v>
      </c>
      <c r="E1024" s="10" t="str">
        <f>HYPERLINK("https://twitter.com/lextresabogados/status/1070562265932410880","1070562265932410880")</f>
        <v>1070562265932410880</v>
      </c>
      <c r="F1024" s="13" t="s">
        <v>3596</v>
      </c>
      <c r="G1024" s="13" t="s">
        <v>4280</v>
      </c>
      <c r="H1024" s="11"/>
      <c r="I1024" s="14">
        <v>0</v>
      </c>
      <c r="J1024" s="14">
        <v>0</v>
      </c>
      <c r="K1024" s="15" t="str">
        <f>HYPERLINK("http://35.180.36.179","botize nueva")</f>
        <v>botize nueva</v>
      </c>
      <c r="L1024" s="14">
        <v>2912</v>
      </c>
      <c r="M1024" s="14">
        <v>3525</v>
      </c>
      <c r="N1024" s="14">
        <v>26</v>
      </c>
      <c r="O1024" s="16"/>
      <c r="P1024" s="6">
        <v>42880.770949074074</v>
      </c>
      <c r="Q1024" s="12" t="s">
        <v>35</v>
      </c>
      <c r="R1024" s="17" t="s">
        <v>36</v>
      </c>
      <c r="S1024" s="13" t="s">
        <v>37</v>
      </c>
      <c r="T1024" s="11"/>
      <c r="U1024" s="10" t="str">
        <f>HYPERLINK("https://pbs.twimg.com/profile_images/1068056978679898113/YnjKwiVy.jpg","View")</f>
        <v>View</v>
      </c>
    </row>
    <row r="1025" spans="1:21" ht="40.799999999999997">
      <c r="A1025" s="6">
        <v>43440.302083333328</v>
      </c>
      <c r="B1025" s="7" t="str">
        <f>HYPERLINK("https://twitter.com/larazon_es","@larazon_es")</f>
        <v>@larazon_es</v>
      </c>
      <c r="C1025" s="8" t="s">
        <v>3594</v>
      </c>
      <c r="D1025" s="9" t="s">
        <v>3595</v>
      </c>
      <c r="E1025" s="10" t="str">
        <f>HYPERLINK("https://twitter.com/larazon_es/status/1070562229341306885","1070562229341306885")</f>
        <v>1070562229341306885</v>
      </c>
      <c r="F1025" s="13" t="s">
        <v>3596</v>
      </c>
      <c r="G1025" s="13" t="s">
        <v>3597</v>
      </c>
      <c r="H1025" s="11"/>
      <c r="I1025" s="14">
        <v>4</v>
      </c>
      <c r="J1025" s="14">
        <v>3</v>
      </c>
      <c r="K1025" s="15" t="str">
        <f>HYPERLINK("http://dogtrack.es","DogTrack_Oficial")</f>
        <v>DogTrack_Oficial</v>
      </c>
      <c r="L1025" s="14">
        <v>442246</v>
      </c>
      <c r="M1025" s="14">
        <v>2961</v>
      </c>
      <c r="N1025" s="14">
        <v>6168</v>
      </c>
      <c r="O1025" s="19" t="s">
        <v>42</v>
      </c>
      <c r="P1025" s="6">
        <v>40218.530092592591</v>
      </c>
      <c r="Q1025" s="12" t="s">
        <v>137</v>
      </c>
      <c r="R1025" s="17" t="s">
        <v>3598</v>
      </c>
      <c r="S1025" s="13" t="s">
        <v>3599</v>
      </c>
      <c r="T1025" s="11"/>
      <c r="U1025" s="10" t="str">
        <f>HYPERLINK("https://pbs.twimg.com/profile_images/1038331271108341762/TPuwz6wc.jpg","View")</f>
        <v>View</v>
      </c>
    </row>
    <row r="1026" spans="1:21" ht="30.6">
      <c r="A1026" s="6">
        <v>43440.295787037037</v>
      </c>
      <c r="B1026" s="7" t="str">
        <f>HYPERLINK("https://twitter.com/PBMarbeMalaga","@PBMarbeMalaga")</f>
        <v>@PBMarbeMalaga</v>
      </c>
      <c r="C1026" s="8" t="s">
        <v>618</v>
      </c>
      <c r="D1026" s="9" t="s">
        <v>4286</v>
      </c>
      <c r="E1026" s="10" t="str">
        <f>HYPERLINK("https://twitter.com/PBMarbeMalaga/status/1070559946981421056","1070559946981421056")</f>
        <v>1070559946981421056</v>
      </c>
      <c r="F1026" s="13" t="s">
        <v>4287</v>
      </c>
      <c r="G1026" s="11"/>
      <c r="H1026" s="11"/>
      <c r="I1026" s="14">
        <v>0</v>
      </c>
      <c r="J1026" s="14">
        <v>0</v>
      </c>
      <c r="K1026" s="15" t="str">
        <f>HYPERLINK("https://javitang.ddns.net","PBMarbeMalaga")</f>
        <v>PBMarbeMalaga</v>
      </c>
      <c r="L1026" s="14">
        <v>1316</v>
      </c>
      <c r="M1026" s="14">
        <v>1358</v>
      </c>
      <c r="N1026" s="14">
        <v>2</v>
      </c>
      <c r="O1026" s="16"/>
      <c r="P1026" s="6">
        <v>43149.814074074078</v>
      </c>
      <c r="Q1026" s="12" t="s">
        <v>621</v>
      </c>
      <c r="R1026" s="17" t="s">
        <v>622</v>
      </c>
      <c r="S1026" s="11"/>
      <c r="T1026" s="11"/>
      <c r="U1026" s="10" t="str">
        <f>HYPERLINK("https://pbs.twimg.com/profile_images/965296691145531392/sAFnfUu2.jpg","View")</f>
        <v>View</v>
      </c>
    </row>
    <row r="1027" spans="1:21" ht="51">
      <c r="A1027" s="6">
        <v>43440.29305555555</v>
      </c>
      <c r="B1027" s="7" t="str">
        <f t="shared" ref="B1027:B1028" si="196">HYPERLINK("https://twitter.com/bitMomentum","@bitMomentum")</f>
        <v>@bitMomentum</v>
      </c>
      <c r="C1027" s="8" t="s">
        <v>1889</v>
      </c>
      <c r="D1027" s="9" t="s">
        <v>3602</v>
      </c>
      <c r="E1027" s="10" t="str">
        <f>HYPERLINK("https://twitter.com/bitMomentum/status/1070558957515743232","1070558957515743232")</f>
        <v>1070558957515743232</v>
      </c>
      <c r="F1027" s="11"/>
      <c r="G1027" s="11"/>
      <c r="H1027" s="11"/>
      <c r="I1027" s="14">
        <v>1</v>
      </c>
      <c r="J1027" s="14">
        <v>2</v>
      </c>
      <c r="K1027" s="15" t="str">
        <f t="shared" ref="K1027:K1028" si="197">HYPERLINK("http://www.bitmomentum.com","bitMomentum Bot")</f>
        <v>bitMomentum Bot</v>
      </c>
      <c r="L1027" s="14">
        <v>10254</v>
      </c>
      <c r="M1027" s="14">
        <v>1059</v>
      </c>
      <c r="N1027" s="14">
        <v>263</v>
      </c>
      <c r="O1027" s="16"/>
      <c r="P1027" s="6">
        <v>41608.667511574073</v>
      </c>
      <c r="Q1027" s="11"/>
      <c r="R1027" s="17" t="s">
        <v>1897</v>
      </c>
      <c r="S1027" s="13" t="s">
        <v>1898</v>
      </c>
      <c r="T1027" s="11"/>
      <c r="U1027" s="10" t="str">
        <f t="shared" ref="U1027:U1028" si="198">HYPERLINK("https://pbs.twimg.com/profile_images/378800000862185241/20ij2H3u.png","View")</f>
        <v>View</v>
      </c>
    </row>
    <row r="1028" spans="1:21" ht="51">
      <c r="A1028" s="6">
        <v>43440.292361111111</v>
      </c>
      <c r="B1028" s="7" t="str">
        <f t="shared" si="196"/>
        <v>@bitMomentum</v>
      </c>
      <c r="C1028" s="8" t="s">
        <v>1889</v>
      </c>
      <c r="D1028" s="9" t="s">
        <v>3606</v>
      </c>
      <c r="E1028" s="10" t="str">
        <f>HYPERLINK("https://twitter.com/bitMomentum/status/1070558705882750976","1070558705882750976")</f>
        <v>1070558705882750976</v>
      </c>
      <c r="F1028" s="11"/>
      <c r="G1028" s="11"/>
      <c r="H1028" s="11"/>
      <c r="I1028" s="14">
        <v>0</v>
      </c>
      <c r="J1028" s="14">
        <v>0</v>
      </c>
      <c r="K1028" s="15" t="str">
        <f t="shared" si="197"/>
        <v>bitMomentum Bot</v>
      </c>
      <c r="L1028" s="14">
        <v>10254</v>
      </c>
      <c r="M1028" s="14">
        <v>1059</v>
      </c>
      <c r="N1028" s="14">
        <v>263</v>
      </c>
      <c r="O1028" s="16"/>
      <c r="P1028" s="6">
        <v>41608.667511574073</v>
      </c>
      <c r="Q1028" s="11"/>
      <c r="R1028" s="17" t="s">
        <v>1897</v>
      </c>
      <c r="S1028" s="13" t="s">
        <v>1898</v>
      </c>
      <c r="T1028" s="11"/>
      <c r="U1028" s="10" t="str">
        <f t="shared" si="198"/>
        <v>View</v>
      </c>
    </row>
    <row r="1029" spans="1:21" ht="40.799999999999997">
      <c r="A1029" s="6">
        <v>43440.291666666672</v>
      </c>
      <c r="B1029" s="7" t="str">
        <f>HYPERLINK("https://twitter.com/El_Plural","@El_Plural")</f>
        <v>@El_Plural</v>
      </c>
      <c r="C1029" s="8" t="s">
        <v>884</v>
      </c>
      <c r="D1029" s="9" t="s">
        <v>2510</v>
      </c>
      <c r="E1029" s="10" t="str">
        <f>HYPERLINK("https://twitter.com/El_Plural/status/1070558454689890304","1070558454689890304")</f>
        <v>1070558454689890304</v>
      </c>
      <c r="F1029" s="13" t="s">
        <v>2517</v>
      </c>
      <c r="G1029" s="11"/>
      <c r="H1029" s="11"/>
      <c r="I1029" s="14">
        <v>68</v>
      </c>
      <c r="J1029" s="14">
        <v>27</v>
      </c>
      <c r="K1029" s="15" t="str">
        <f>HYPERLINK("https://about.twitter.com/products/tweetdeck","TweetDeck")</f>
        <v>TweetDeck</v>
      </c>
      <c r="L1029" s="14">
        <v>72031</v>
      </c>
      <c r="M1029" s="14">
        <v>1650</v>
      </c>
      <c r="N1029" s="14">
        <v>2018</v>
      </c>
      <c r="O1029" s="16"/>
      <c r="P1029" s="6">
        <v>40351.51053240741</v>
      </c>
      <c r="Q1029" s="12" t="s">
        <v>137</v>
      </c>
      <c r="R1029" s="17" t="s">
        <v>889</v>
      </c>
      <c r="S1029" s="13" t="s">
        <v>890</v>
      </c>
      <c r="T1029" s="11"/>
      <c r="U1029" s="10" t="str">
        <f>HYPERLINK("https://pbs.twimg.com/profile_images/1017707018138857473/kUt8X2tn.jpg","View")</f>
        <v>View</v>
      </c>
    </row>
    <row r="1030" spans="1:21" ht="51">
      <c r="A1030" s="6">
        <v>43440.283865740741</v>
      </c>
      <c r="B1030" s="7" t="str">
        <f>HYPERLINK("https://twitter.com/Lourdes69908715","@Lourdes69908715")</f>
        <v>@Lourdes69908715</v>
      </c>
      <c r="C1030" s="8" t="s">
        <v>4291</v>
      </c>
      <c r="D1030" s="9" t="s">
        <v>4292</v>
      </c>
      <c r="E1030" s="10" t="str">
        <f>HYPERLINK("https://twitter.com/Lourdes69908715/status/1070555629054554112","1070555629054554112")</f>
        <v>1070555629054554112</v>
      </c>
      <c r="F1030" s="11"/>
      <c r="G1030" s="11"/>
      <c r="H1030" s="11"/>
      <c r="I1030" s="14">
        <v>11</v>
      </c>
      <c r="J1030" s="14">
        <v>9</v>
      </c>
      <c r="K1030" s="15" t="str">
        <f t="shared" ref="K1030:K1031" si="199">HYPERLINK("http://twitter.com/download/android","Twitter for Android")</f>
        <v>Twitter for Android</v>
      </c>
      <c r="L1030" s="14">
        <v>298</v>
      </c>
      <c r="M1030" s="14">
        <v>1133</v>
      </c>
      <c r="N1030" s="14">
        <v>1</v>
      </c>
      <c r="O1030" s="16"/>
      <c r="P1030" s="6">
        <v>43164.847511574073</v>
      </c>
      <c r="Q1030" s="12" t="s">
        <v>4293</v>
      </c>
      <c r="R1030" s="18"/>
      <c r="S1030" s="11"/>
      <c r="T1030" s="11"/>
      <c r="U1030" s="10" t="str">
        <f>HYPERLINK("https://pbs.twimg.com/profile_images/973074267507216394/q3QxhXI9.jpg","View")</f>
        <v>View</v>
      </c>
    </row>
    <row r="1031" spans="1:21" ht="40.799999999999997">
      <c r="A1031" s="6">
        <v>43440.271168981482</v>
      </c>
      <c r="B1031" s="7" t="str">
        <f>HYPERLINK("https://twitter.com/vsanmcs","@vsanmcs")</f>
        <v>@vsanmcs</v>
      </c>
      <c r="C1031" s="8" t="s">
        <v>3616</v>
      </c>
      <c r="D1031" s="9" t="s">
        <v>3617</v>
      </c>
      <c r="E1031" s="10" t="str">
        <f>HYPERLINK("https://twitter.com/vsanmcs/status/1070551029316534272","1070551029316534272")</f>
        <v>1070551029316534272</v>
      </c>
      <c r="F1031" s="13" t="s">
        <v>3618</v>
      </c>
      <c r="G1031" s="11"/>
      <c r="H1031" s="11"/>
      <c r="I1031" s="14">
        <v>2</v>
      </c>
      <c r="J1031" s="14">
        <v>2</v>
      </c>
      <c r="K1031" s="15" t="str">
        <f t="shared" si="199"/>
        <v>Twitter for Android</v>
      </c>
      <c r="L1031" s="14">
        <v>4494</v>
      </c>
      <c r="M1031" s="14">
        <v>1708</v>
      </c>
      <c r="N1031" s="14">
        <v>95</v>
      </c>
      <c r="O1031" s="16"/>
      <c r="P1031" s="6">
        <v>41616.578159722223</v>
      </c>
      <c r="Q1031" s="12" t="s">
        <v>60</v>
      </c>
      <c r="R1031" s="17" t="s">
        <v>3619</v>
      </c>
      <c r="S1031" s="11"/>
      <c r="T1031" s="11"/>
      <c r="U1031" s="10" t="str">
        <f>HYPERLINK("https://pbs.twimg.com/profile_images/991729796936798208/UT6QWNKK.jpg","View")</f>
        <v>View</v>
      </c>
    </row>
    <row r="1032" spans="1:21" ht="40.799999999999997">
      <c r="A1032" s="6">
        <v>43440.260798611111</v>
      </c>
      <c r="B1032" s="7" t="str">
        <f>HYPERLINK("https://twitter.com/TOMYBEN74","@TOMYBEN74")</f>
        <v>@TOMYBEN74</v>
      </c>
      <c r="C1032" s="8" t="s">
        <v>3620</v>
      </c>
      <c r="D1032" s="9" t="s">
        <v>3621</v>
      </c>
      <c r="E1032" s="10" t="str">
        <f>HYPERLINK("https://twitter.com/TOMYBEN74/status/1070547270293164032","1070547270293164032")</f>
        <v>1070547270293164032</v>
      </c>
      <c r="F1032" s="12" t="s">
        <v>3622</v>
      </c>
      <c r="G1032" s="11"/>
      <c r="H1032" s="11"/>
      <c r="I1032" s="14">
        <v>0</v>
      </c>
      <c r="J1032" s="14">
        <v>0</v>
      </c>
      <c r="K1032" s="15" t="str">
        <f>HYPERLINK("http://twitter.com/#!/download/ipad","Twitter for iPad")</f>
        <v>Twitter for iPad</v>
      </c>
      <c r="L1032" s="14">
        <v>118</v>
      </c>
      <c r="M1032" s="14">
        <v>215</v>
      </c>
      <c r="N1032" s="14">
        <v>2</v>
      </c>
      <c r="O1032" s="16"/>
      <c r="P1032" s="6">
        <v>41714.379560185189</v>
      </c>
      <c r="Q1032" s="12" t="s">
        <v>29</v>
      </c>
      <c r="R1032" s="17" t="s">
        <v>3623</v>
      </c>
      <c r="S1032" s="11"/>
      <c r="T1032" s="11"/>
      <c r="U1032" s="10" t="str">
        <f>HYPERLINK("https://pbs.twimg.com/profile_images/950234016648716288/Kcdg31oc.jpg","View")</f>
        <v>View</v>
      </c>
    </row>
    <row r="1033" spans="1:21" ht="30.6">
      <c r="A1033" s="6">
        <v>43440.257048611107</v>
      </c>
      <c r="B1033" s="7" t="str">
        <f>HYPERLINK("https://twitter.com/marquezsergio09","@marquezsergio09")</f>
        <v>@marquezsergio09</v>
      </c>
      <c r="C1033" s="8" t="s">
        <v>3488</v>
      </c>
      <c r="D1033" s="9" t="s">
        <v>4302</v>
      </c>
      <c r="E1033" s="10" t="str">
        <f>HYPERLINK("https://twitter.com/marquezsergio09/status/1070545910655082497","1070545910655082497")</f>
        <v>1070545910655082497</v>
      </c>
      <c r="F1033" s="11"/>
      <c r="G1033" s="11"/>
      <c r="H1033" s="11"/>
      <c r="I1033" s="14">
        <v>0</v>
      </c>
      <c r="J1033" s="14">
        <v>0</v>
      </c>
      <c r="K1033" s="15" t="str">
        <f t="shared" ref="K1033:K1034" si="200">HYPERLINK("http://twitter.com/download/android","Twitter for Android")</f>
        <v>Twitter for Android</v>
      </c>
      <c r="L1033" s="14">
        <v>509</v>
      </c>
      <c r="M1033" s="14">
        <v>1013</v>
      </c>
      <c r="N1033" s="14">
        <v>0</v>
      </c>
      <c r="O1033" s="16"/>
      <c r="P1033" s="6">
        <v>42740.647418981476</v>
      </c>
      <c r="Q1033" s="12" t="s">
        <v>602</v>
      </c>
      <c r="R1033" s="17" t="s">
        <v>3493</v>
      </c>
      <c r="S1033" s="11"/>
      <c r="T1033" s="11"/>
      <c r="U1033" s="10" t="str">
        <f>HYPERLINK("https://pbs.twimg.com/profile_images/1063280678782058497/HVuBkRi2.jpg","View")</f>
        <v>View</v>
      </c>
    </row>
    <row r="1034" spans="1:21" ht="40.799999999999997">
      <c r="A1034" s="6">
        <v>43440.25675925926</v>
      </c>
      <c r="B1034" s="7" t="str">
        <f>HYPERLINK("https://twitter.com/cavernacubica","@cavernacubica")</f>
        <v>@cavernacubica</v>
      </c>
      <c r="C1034" s="8" t="s">
        <v>4307</v>
      </c>
      <c r="D1034" s="9" t="s">
        <v>4308</v>
      </c>
      <c r="E1034" s="10" t="str">
        <f>HYPERLINK("https://twitter.com/cavernacubica/status/1070545805096964097","1070545805096964097")</f>
        <v>1070545805096964097</v>
      </c>
      <c r="F1034" s="11"/>
      <c r="G1034" s="11"/>
      <c r="H1034" s="11"/>
      <c r="I1034" s="14">
        <v>0</v>
      </c>
      <c r="J1034" s="14">
        <v>0</v>
      </c>
      <c r="K1034" s="15" t="str">
        <f t="shared" si="200"/>
        <v>Twitter for Android</v>
      </c>
      <c r="L1034" s="14">
        <v>2279</v>
      </c>
      <c r="M1034" s="14">
        <v>3887</v>
      </c>
      <c r="N1034" s="14">
        <v>77</v>
      </c>
      <c r="O1034" s="16"/>
      <c r="P1034" s="6">
        <v>40572.789050925923</v>
      </c>
      <c r="Q1034" s="12" t="s">
        <v>1928</v>
      </c>
      <c r="R1034" s="17" t="s">
        <v>4310</v>
      </c>
      <c r="S1034" s="13" t="s">
        <v>4311</v>
      </c>
      <c r="T1034" s="11"/>
      <c r="U1034" s="10" t="str">
        <f>HYPERLINK("https://pbs.twimg.com/profile_images/839367232677425152/9krS0CkF.jpg","View")</f>
        <v>View</v>
      </c>
    </row>
    <row r="1035" spans="1:21" ht="81.599999999999994">
      <c r="A1035" s="6">
        <v>43440.256643518514</v>
      </c>
      <c r="B1035" s="7" t="str">
        <f>HYPERLINK("https://twitter.com/TOMYBEN74","@TOMYBEN74")</f>
        <v>@TOMYBEN74</v>
      </c>
      <c r="C1035" s="8" t="s">
        <v>3620</v>
      </c>
      <c r="D1035" s="9" t="s">
        <v>3628</v>
      </c>
      <c r="E1035" s="10" t="str">
        <f>HYPERLINK("https://twitter.com/TOMYBEN74/status/1070545763531415553","1070545763531415553")</f>
        <v>1070545763531415553</v>
      </c>
      <c r="F1035" s="12" t="s">
        <v>3630</v>
      </c>
      <c r="G1035" s="11"/>
      <c r="H1035" s="11"/>
      <c r="I1035" s="14">
        <v>0</v>
      </c>
      <c r="J1035" s="14">
        <v>0</v>
      </c>
      <c r="K1035" s="15" t="str">
        <f>HYPERLINK("http://twitter.com/#!/download/ipad","Twitter for iPad")</f>
        <v>Twitter for iPad</v>
      </c>
      <c r="L1035" s="14">
        <v>118</v>
      </c>
      <c r="M1035" s="14">
        <v>215</v>
      </c>
      <c r="N1035" s="14">
        <v>2</v>
      </c>
      <c r="O1035" s="16"/>
      <c r="P1035" s="6">
        <v>41714.379560185189</v>
      </c>
      <c r="Q1035" s="12" t="s">
        <v>29</v>
      </c>
      <c r="R1035" s="17" t="s">
        <v>3623</v>
      </c>
      <c r="S1035" s="11"/>
      <c r="T1035" s="11"/>
      <c r="U1035" s="10" t="str">
        <f>HYPERLINK("https://pbs.twimg.com/profile_images/950234016648716288/Kcdg31oc.jpg","View")</f>
        <v>View</v>
      </c>
    </row>
    <row r="1036" spans="1:21" ht="51">
      <c r="A1036" s="6">
        <v>43440.251388888893</v>
      </c>
      <c r="B1036" s="7" t="str">
        <f t="shared" ref="B1036:B1037" si="201">HYPERLINK("https://twitter.com/bitMomentum","@bitMomentum")</f>
        <v>@bitMomentum</v>
      </c>
      <c r="C1036" s="8" t="s">
        <v>1889</v>
      </c>
      <c r="D1036" s="9" t="s">
        <v>3631</v>
      </c>
      <c r="E1036" s="10" t="str">
        <f>HYPERLINK("https://twitter.com/bitMomentum/status/1070543857937498112","1070543857937498112")</f>
        <v>1070543857937498112</v>
      </c>
      <c r="F1036" s="11"/>
      <c r="G1036" s="11"/>
      <c r="H1036" s="11"/>
      <c r="I1036" s="14">
        <v>0</v>
      </c>
      <c r="J1036" s="14">
        <v>0</v>
      </c>
      <c r="K1036" s="15" t="str">
        <f t="shared" ref="K1036:K1037" si="202">HYPERLINK("http://www.bitmomentum.com","bitMomentum Bot")</f>
        <v>bitMomentum Bot</v>
      </c>
      <c r="L1036" s="14">
        <v>10254</v>
      </c>
      <c r="M1036" s="14">
        <v>1059</v>
      </c>
      <c r="N1036" s="14">
        <v>263</v>
      </c>
      <c r="O1036" s="16"/>
      <c r="P1036" s="6">
        <v>41608.667511574073</v>
      </c>
      <c r="Q1036" s="11"/>
      <c r="R1036" s="17" t="s">
        <v>1897</v>
      </c>
      <c r="S1036" s="13" t="s">
        <v>1898</v>
      </c>
      <c r="T1036" s="11"/>
      <c r="U1036" s="10" t="str">
        <f t="shared" ref="U1036:U1037" si="203">HYPERLINK("https://pbs.twimg.com/profile_images/378800000862185241/20ij2H3u.png","View")</f>
        <v>View</v>
      </c>
    </row>
    <row r="1037" spans="1:21" ht="51">
      <c r="A1037" s="6">
        <v>43440.250694444447</v>
      </c>
      <c r="B1037" s="7" t="str">
        <f t="shared" si="201"/>
        <v>@bitMomentum</v>
      </c>
      <c r="C1037" s="8" t="s">
        <v>1889</v>
      </c>
      <c r="D1037" s="9" t="s">
        <v>3632</v>
      </c>
      <c r="E1037" s="10" t="str">
        <f>HYPERLINK("https://twitter.com/bitMomentum/status/1070543606413492225","1070543606413492225")</f>
        <v>1070543606413492225</v>
      </c>
      <c r="F1037" s="11"/>
      <c r="G1037" s="11"/>
      <c r="H1037" s="11"/>
      <c r="I1037" s="14">
        <v>2</v>
      </c>
      <c r="J1037" s="14">
        <v>2</v>
      </c>
      <c r="K1037" s="15" t="str">
        <f t="shared" si="202"/>
        <v>bitMomentum Bot</v>
      </c>
      <c r="L1037" s="14">
        <v>10254</v>
      </c>
      <c r="M1037" s="14">
        <v>1059</v>
      </c>
      <c r="N1037" s="14">
        <v>263</v>
      </c>
      <c r="O1037" s="16"/>
      <c r="P1037" s="6">
        <v>41608.667511574073</v>
      </c>
      <c r="Q1037" s="11"/>
      <c r="R1037" s="17" t="s">
        <v>1897</v>
      </c>
      <c r="S1037" s="13" t="s">
        <v>1898</v>
      </c>
      <c r="T1037" s="11"/>
      <c r="U1037" s="10" t="str">
        <f t="shared" si="203"/>
        <v>View</v>
      </c>
    </row>
    <row r="1038" spans="1:21" ht="61.2">
      <c r="A1038" s="6">
        <v>43440.24800925926</v>
      </c>
      <c r="B1038" s="7" t="str">
        <f>HYPERLINK("https://twitter.com/Abiperez1313","@Abiperez1313")</f>
        <v>@Abiperez1313</v>
      </c>
      <c r="C1038" s="8" t="s">
        <v>3633</v>
      </c>
      <c r="D1038" s="9" t="s">
        <v>3634</v>
      </c>
      <c r="E1038" s="10" t="str">
        <f>HYPERLINK("https://twitter.com/Abiperez1313/status/1070542632865157120","1070542632865157120")</f>
        <v>1070542632865157120</v>
      </c>
      <c r="F1038" s="11"/>
      <c r="G1038" s="13" t="s">
        <v>3635</v>
      </c>
      <c r="H1038" s="11"/>
      <c r="I1038" s="14">
        <v>0</v>
      </c>
      <c r="J1038" s="14">
        <v>0</v>
      </c>
      <c r="K1038" s="15" t="str">
        <f>HYPERLINK("http://twitter.com/download/iphone","Twitter for iPhone")</f>
        <v>Twitter for iPhone</v>
      </c>
      <c r="L1038" s="14">
        <v>6</v>
      </c>
      <c r="M1038" s="14">
        <v>74</v>
      </c>
      <c r="N1038" s="14">
        <v>0</v>
      </c>
      <c r="O1038" s="16"/>
      <c r="P1038" s="6">
        <v>43198.999930555554</v>
      </c>
      <c r="Q1038" s="12" t="s">
        <v>508</v>
      </c>
      <c r="R1038" s="17" t="s">
        <v>3638</v>
      </c>
      <c r="S1038" s="11"/>
      <c r="T1038" s="11"/>
      <c r="U1038" s="10" t="str">
        <f>HYPERLINK("https://pbs.twimg.com/profile_images/983109882743328769/PG3vpBuZ.jpg","View")</f>
        <v>View</v>
      </c>
    </row>
    <row r="1039" spans="1:21" ht="20.399999999999999">
      <c r="A1039" s="6">
        <v>43440.240844907406</v>
      </c>
      <c r="B1039" s="7" t="str">
        <f>HYPERLINK("https://twitter.com/digital_libre","@digital_libre")</f>
        <v>@digital_libre</v>
      </c>
      <c r="C1039" s="8" t="s">
        <v>4317</v>
      </c>
      <c r="D1039" s="9" t="s">
        <v>4318</v>
      </c>
      <c r="E1039" s="10" t="str">
        <f>HYPERLINK("https://twitter.com/digital_libre/status/1070540037362733056","1070540037362733056")</f>
        <v>1070540037362733056</v>
      </c>
      <c r="F1039" s="13" t="s">
        <v>4320</v>
      </c>
      <c r="G1039" s="11"/>
      <c r="H1039" s="11"/>
      <c r="I1039" s="14">
        <v>0</v>
      </c>
      <c r="J1039" s="14">
        <v>0</v>
      </c>
      <c r="K1039" s="15" t="str">
        <f>HYPERLINK("http://twitter.com","Twitter Web Client")</f>
        <v>Twitter Web Client</v>
      </c>
      <c r="L1039" s="14">
        <v>228</v>
      </c>
      <c r="M1039" s="14">
        <v>518</v>
      </c>
      <c r="N1039" s="14">
        <v>3</v>
      </c>
      <c r="O1039" s="16"/>
      <c r="P1039" s="6">
        <v>42559.819745370369</v>
      </c>
      <c r="Q1039" s="12" t="s">
        <v>1601</v>
      </c>
      <c r="R1039" s="17" t="s">
        <v>4322</v>
      </c>
      <c r="S1039" s="13" t="s">
        <v>4323</v>
      </c>
      <c r="T1039" s="11"/>
      <c r="U1039" s="10" t="str">
        <f>HYPERLINK("https://pbs.twimg.com/profile_images/993852861686648833/4pURLo8F.jpg","View")</f>
        <v>View</v>
      </c>
    </row>
    <row r="1040" spans="1:21" ht="51">
      <c r="A1040" s="6">
        <v>43440.233796296292</v>
      </c>
      <c r="B1040" s="7" t="str">
        <f>HYPERLINK("https://twitter.com/BlanchEnric","@BlanchEnric")</f>
        <v>@BlanchEnric</v>
      </c>
      <c r="C1040" s="8" t="s">
        <v>4324</v>
      </c>
      <c r="D1040" s="9" t="s">
        <v>4325</v>
      </c>
      <c r="E1040" s="10" t="str">
        <f>HYPERLINK("https://twitter.com/BlanchEnric/status/1070537485996961793","1070537485996961793")</f>
        <v>1070537485996961793</v>
      </c>
      <c r="F1040" s="13" t="s">
        <v>4328</v>
      </c>
      <c r="G1040" s="11"/>
      <c r="H1040" s="11"/>
      <c r="I1040" s="14">
        <v>1</v>
      </c>
      <c r="J1040" s="14">
        <v>0</v>
      </c>
      <c r="K1040" s="15" t="str">
        <f>HYPERLINK("http://twitter.com/download/android","Twitter for Android")</f>
        <v>Twitter for Android</v>
      </c>
      <c r="L1040" s="14">
        <v>145</v>
      </c>
      <c r="M1040" s="14">
        <v>274</v>
      </c>
      <c r="N1040" s="14">
        <v>0</v>
      </c>
      <c r="O1040" s="16"/>
      <c r="P1040" s="6">
        <v>42673.674513888887</v>
      </c>
      <c r="Q1040" s="11"/>
      <c r="R1040" s="17" t="s">
        <v>4329</v>
      </c>
      <c r="S1040" s="11"/>
      <c r="T1040" s="11"/>
      <c r="U1040" s="10" t="str">
        <f>HYPERLINK("https://pbs.twimg.com/profile_images/792750274205065216/fPQZtVhW.jpg","View")</f>
        <v>View</v>
      </c>
    </row>
    <row r="1041" spans="1:21" ht="51">
      <c r="A1041" s="6">
        <v>43440.209722222222</v>
      </c>
      <c r="B1041" s="7" t="str">
        <f t="shared" ref="B1041:B1042" si="204">HYPERLINK("https://twitter.com/bitMomentum","@bitMomentum")</f>
        <v>@bitMomentum</v>
      </c>
      <c r="C1041" s="8" t="s">
        <v>1889</v>
      </c>
      <c r="D1041" s="9" t="s">
        <v>3642</v>
      </c>
      <c r="E1041" s="10" t="str">
        <f>HYPERLINK("https://twitter.com/bitMomentum/status/1070528758598258688","1070528758598258688")</f>
        <v>1070528758598258688</v>
      </c>
      <c r="F1041" s="11"/>
      <c r="G1041" s="11"/>
      <c r="H1041" s="11"/>
      <c r="I1041" s="14">
        <v>0</v>
      </c>
      <c r="J1041" s="14">
        <v>0</v>
      </c>
      <c r="K1041" s="15" t="str">
        <f t="shared" ref="K1041:K1042" si="205">HYPERLINK("http://www.bitmomentum.com","bitMomentum Bot")</f>
        <v>bitMomentum Bot</v>
      </c>
      <c r="L1041" s="14">
        <v>10254</v>
      </c>
      <c r="M1041" s="14">
        <v>1059</v>
      </c>
      <c r="N1041" s="14">
        <v>263</v>
      </c>
      <c r="O1041" s="16"/>
      <c r="P1041" s="6">
        <v>41608.667511574073</v>
      </c>
      <c r="Q1041" s="11"/>
      <c r="R1041" s="17" t="s">
        <v>1897</v>
      </c>
      <c r="S1041" s="13" t="s">
        <v>1898</v>
      </c>
      <c r="T1041" s="11"/>
      <c r="U1041" s="10" t="str">
        <f t="shared" ref="U1041:U1042" si="206">HYPERLINK("https://pbs.twimg.com/profile_images/378800000862185241/20ij2H3u.png","View")</f>
        <v>View</v>
      </c>
    </row>
    <row r="1042" spans="1:21" ht="51">
      <c r="A1042" s="6">
        <v>43440.209027777775</v>
      </c>
      <c r="B1042" s="7" t="str">
        <f t="shared" si="204"/>
        <v>@bitMomentum</v>
      </c>
      <c r="C1042" s="8" t="s">
        <v>1889</v>
      </c>
      <c r="D1042" s="9" t="s">
        <v>3647</v>
      </c>
      <c r="E1042" s="10" t="str">
        <f>HYPERLINK("https://twitter.com/bitMomentum/status/1070528506935828480","1070528506935828480")</f>
        <v>1070528506935828480</v>
      </c>
      <c r="F1042" s="11"/>
      <c r="G1042" s="11"/>
      <c r="H1042" s="11"/>
      <c r="I1042" s="14">
        <v>0</v>
      </c>
      <c r="J1042" s="14">
        <v>0</v>
      </c>
      <c r="K1042" s="15" t="str">
        <f t="shared" si="205"/>
        <v>bitMomentum Bot</v>
      </c>
      <c r="L1042" s="14">
        <v>10254</v>
      </c>
      <c r="M1042" s="14">
        <v>1059</v>
      </c>
      <c r="N1042" s="14">
        <v>263</v>
      </c>
      <c r="O1042" s="16"/>
      <c r="P1042" s="6">
        <v>41608.667511574073</v>
      </c>
      <c r="Q1042" s="11"/>
      <c r="R1042" s="17" t="s">
        <v>1897</v>
      </c>
      <c r="S1042" s="13" t="s">
        <v>1898</v>
      </c>
      <c r="T1042" s="11"/>
      <c r="U1042" s="10" t="str">
        <f t="shared" si="206"/>
        <v>View</v>
      </c>
    </row>
    <row r="1043" spans="1:21" ht="40.799999999999997">
      <c r="A1043" s="6">
        <v>43440.203877314816</v>
      </c>
      <c r="B1043" s="7" t="str">
        <f>HYPERLINK("https://twitter.com/AdeSiracusa","@AdeSiracusa")</f>
        <v>@AdeSiracusa</v>
      </c>
      <c r="C1043" s="8" t="s">
        <v>79</v>
      </c>
      <c r="D1043" s="9" t="s">
        <v>4333</v>
      </c>
      <c r="E1043" s="10" t="str">
        <f>HYPERLINK("https://twitter.com/AdeSiracusa/status/1070526643729522688","1070526643729522688")</f>
        <v>1070526643729522688</v>
      </c>
      <c r="F1043" s="13" t="s">
        <v>4334</v>
      </c>
      <c r="G1043" s="11"/>
      <c r="H1043" s="11"/>
      <c r="I1043" s="14">
        <v>0</v>
      </c>
      <c r="J1043" s="14">
        <v>0</v>
      </c>
      <c r="K1043" s="15" t="str">
        <f>HYPERLINK("http://www.republicosvenezuela.com/","AdeSiracusa")</f>
        <v>AdeSiracusa</v>
      </c>
      <c r="L1043" s="14">
        <v>4091</v>
      </c>
      <c r="M1043" s="14">
        <v>4122</v>
      </c>
      <c r="N1043" s="14">
        <v>12</v>
      </c>
      <c r="O1043" s="16"/>
      <c r="P1043" s="6">
        <v>42958.576388888891</v>
      </c>
      <c r="Q1043" s="12" t="s">
        <v>87</v>
      </c>
      <c r="R1043" s="17" t="s">
        <v>88</v>
      </c>
      <c r="S1043" s="11"/>
      <c r="T1043" s="11"/>
      <c r="U1043" s="10" t="str">
        <f>HYPERLINK("https://pbs.twimg.com/profile_images/895978354591105024/x2wNXrPl.jpg","View")</f>
        <v>View</v>
      </c>
    </row>
    <row r="1044" spans="1:21" ht="20.399999999999999">
      <c r="A1044" s="6">
        <v>43440.188831018517</v>
      </c>
      <c r="B1044" s="7" t="str">
        <f>HYPERLINK("https://twitter.com/LuisLeonardoV","@LuisLeonardoV")</f>
        <v>@LuisLeonardoV</v>
      </c>
      <c r="C1044" s="8" t="s">
        <v>4337</v>
      </c>
      <c r="D1044" s="9" t="s">
        <v>3290</v>
      </c>
      <c r="E1044" s="10" t="str">
        <f>HYPERLINK("https://twitter.com/LuisLeonardoV/status/1070521188106014720","1070521188106014720")</f>
        <v>1070521188106014720</v>
      </c>
      <c r="F1044" s="13" t="s">
        <v>4338</v>
      </c>
      <c r="G1044" s="11"/>
      <c r="H1044" s="11"/>
      <c r="I1044" s="14">
        <v>0</v>
      </c>
      <c r="J1044" s="14">
        <v>0</v>
      </c>
      <c r="K1044" s="15" t="str">
        <f>HYPERLINK("http://www.facebook.com/twitter","Facebook")</f>
        <v>Facebook</v>
      </c>
      <c r="L1044" s="14">
        <v>87</v>
      </c>
      <c r="M1044" s="14">
        <v>577</v>
      </c>
      <c r="N1044" s="14">
        <v>0</v>
      </c>
      <c r="O1044" s="16"/>
      <c r="P1044" s="6">
        <v>40799.628391203703</v>
      </c>
      <c r="Q1044" s="12" t="s">
        <v>4340</v>
      </c>
      <c r="R1044" s="17" t="s">
        <v>4342</v>
      </c>
      <c r="S1044" s="11"/>
      <c r="T1044" s="11"/>
      <c r="U1044" s="10" t="str">
        <f>HYPERLINK("https://pbs.twimg.com/profile_images/953603125646188544/vVgwuEZ6.jpg","View")</f>
        <v>View</v>
      </c>
    </row>
    <row r="1045" spans="1:21" ht="71.400000000000006">
      <c r="A1045" s="6">
        <v>43440.179664351846</v>
      </c>
      <c r="B1045" s="7" t="str">
        <f>HYPERLINK("https://twitter.com/MiriamNeska","@MiriamNeska")</f>
        <v>@MiriamNeska</v>
      </c>
      <c r="C1045" s="8" t="s">
        <v>3651</v>
      </c>
      <c r="D1045" s="9" t="s">
        <v>3652</v>
      </c>
      <c r="E1045" s="10" t="str">
        <f>HYPERLINK("https://twitter.com/MiriamNeska/status/1070517865927847937","1070517865927847937")</f>
        <v>1070517865927847937</v>
      </c>
      <c r="F1045" s="13" t="s">
        <v>570</v>
      </c>
      <c r="G1045" s="13" t="s">
        <v>571</v>
      </c>
      <c r="H1045" s="11"/>
      <c r="I1045" s="14">
        <v>0</v>
      </c>
      <c r="J1045" s="14">
        <v>0</v>
      </c>
      <c r="K1045" s="15" t="str">
        <f>HYPERLINK("http://twitter.com","Twitter Web Client")</f>
        <v>Twitter Web Client</v>
      </c>
      <c r="L1045" s="14">
        <v>88</v>
      </c>
      <c r="M1045" s="14">
        <v>323</v>
      </c>
      <c r="N1045" s="14">
        <v>3</v>
      </c>
      <c r="O1045" s="16"/>
      <c r="P1045" s="6">
        <v>42703.484976851847</v>
      </c>
      <c r="Q1045" s="11"/>
      <c r="R1045" s="18"/>
      <c r="S1045" s="11"/>
      <c r="T1045" s="11"/>
      <c r="U1045" s="10" t="str">
        <f>HYPERLINK("https://pbs.twimg.com/profile_images/951568472751968256/4iVGJPgL.jpg","View")</f>
        <v>View</v>
      </c>
    </row>
    <row r="1046" spans="1:21" ht="40.799999999999997">
      <c r="A1046" s="6">
        <v>43440.17454861111</v>
      </c>
      <c r="B1046" s="7" t="str">
        <f>HYPERLINK("https://twitter.com/AdeSiracusa","@AdeSiracusa")</f>
        <v>@AdeSiracusa</v>
      </c>
      <c r="C1046" s="8" t="s">
        <v>79</v>
      </c>
      <c r="D1046" s="9" t="s">
        <v>4347</v>
      </c>
      <c r="E1046" s="10" t="str">
        <f>HYPERLINK("https://twitter.com/AdeSiracusa/status/1070516014671118337","1070516014671118337")</f>
        <v>1070516014671118337</v>
      </c>
      <c r="F1046" s="13" t="s">
        <v>4349</v>
      </c>
      <c r="G1046" s="11"/>
      <c r="H1046" s="11"/>
      <c r="I1046" s="14">
        <v>0</v>
      </c>
      <c r="J1046" s="14">
        <v>0</v>
      </c>
      <c r="K1046" s="15" t="str">
        <f>HYPERLINK("http://www.republicosvenezuela.com/","AdeSiracusa")</f>
        <v>AdeSiracusa</v>
      </c>
      <c r="L1046" s="14">
        <v>4091</v>
      </c>
      <c r="M1046" s="14">
        <v>4122</v>
      </c>
      <c r="N1046" s="14">
        <v>12</v>
      </c>
      <c r="O1046" s="16"/>
      <c r="P1046" s="6">
        <v>42958.576388888891</v>
      </c>
      <c r="Q1046" s="12" t="s">
        <v>87</v>
      </c>
      <c r="R1046" s="17" t="s">
        <v>88</v>
      </c>
      <c r="S1046" s="11"/>
      <c r="T1046" s="11"/>
      <c r="U1046" s="10" t="str">
        <f>HYPERLINK("https://pbs.twimg.com/profile_images/895978354591105024/x2wNXrPl.jpg","View")</f>
        <v>View</v>
      </c>
    </row>
    <row r="1047" spans="1:21" ht="51">
      <c r="A1047" s="6">
        <v>43440.16805555555</v>
      </c>
      <c r="B1047" s="7" t="str">
        <f t="shared" ref="B1047:B1048" si="207">HYPERLINK("https://twitter.com/bitMomentum","@bitMomentum")</f>
        <v>@bitMomentum</v>
      </c>
      <c r="C1047" s="8" t="s">
        <v>1889</v>
      </c>
      <c r="D1047" s="9" t="s">
        <v>3653</v>
      </c>
      <c r="E1047" s="10" t="str">
        <f>HYPERLINK("https://twitter.com/bitMomentum/status/1070513659095539712","1070513659095539712")</f>
        <v>1070513659095539712</v>
      </c>
      <c r="F1047" s="11"/>
      <c r="G1047" s="11"/>
      <c r="H1047" s="11"/>
      <c r="I1047" s="14">
        <v>0</v>
      </c>
      <c r="J1047" s="14">
        <v>0</v>
      </c>
      <c r="K1047" s="15" t="str">
        <f t="shared" ref="K1047:K1048" si="208">HYPERLINK("http://www.bitmomentum.com","bitMomentum Bot")</f>
        <v>bitMomentum Bot</v>
      </c>
      <c r="L1047" s="14">
        <v>10254</v>
      </c>
      <c r="M1047" s="14">
        <v>1059</v>
      </c>
      <c r="N1047" s="14">
        <v>263</v>
      </c>
      <c r="O1047" s="16"/>
      <c r="P1047" s="6">
        <v>41608.667511574073</v>
      </c>
      <c r="Q1047" s="11"/>
      <c r="R1047" s="17" t="s">
        <v>1897</v>
      </c>
      <c r="S1047" s="13" t="s">
        <v>1898</v>
      </c>
      <c r="T1047" s="11"/>
      <c r="U1047" s="10" t="str">
        <f t="shared" ref="U1047:U1048" si="209">HYPERLINK("https://pbs.twimg.com/profile_images/378800000862185241/20ij2H3u.png","View")</f>
        <v>View</v>
      </c>
    </row>
    <row r="1048" spans="1:21" ht="51">
      <c r="A1048" s="6">
        <v>43440.167361111111</v>
      </c>
      <c r="B1048" s="7" t="str">
        <f t="shared" si="207"/>
        <v>@bitMomentum</v>
      </c>
      <c r="C1048" s="8" t="s">
        <v>1889</v>
      </c>
      <c r="D1048" s="9" t="s">
        <v>3654</v>
      </c>
      <c r="E1048" s="10" t="str">
        <f>HYPERLINK("https://twitter.com/bitMomentum/status/1070513407273656320","1070513407273656320")</f>
        <v>1070513407273656320</v>
      </c>
      <c r="F1048" s="11"/>
      <c r="G1048" s="11"/>
      <c r="H1048" s="11"/>
      <c r="I1048" s="14">
        <v>0</v>
      </c>
      <c r="J1048" s="14">
        <v>0</v>
      </c>
      <c r="K1048" s="15" t="str">
        <f t="shared" si="208"/>
        <v>bitMomentum Bot</v>
      </c>
      <c r="L1048" s="14">
        <v>10254</v>
      </c>
      <c r="M1048" s="14">
        <v>1059</v>
      </c>
      <c r="N1048" s="14">
        <v>263</v>
      </c>
      <c r="O1048" s="16"/>
      <c r="P1048" s="6">
        <v>41608.667511574073</v>
      </c>
      <c r="Q1048" s="11"/>
      <c r="R1048" s="17" t="s">
        <v>1897</v>
      </c>
      <c r="S1048" s="13" t="s">
        <v>1898</v>
      </c>
      <c r="T1048" s="11"/>
      <c r="U1048" s="10" t="str">
        <f t="shared" si="209"/>
        <v>View</v>
      </c>
    </row>
    <row r="1049" spans="1:21" ht="30.6">
      <c r="A1049" s="6">
        <v>43440.160636574074</v>
      </c>
      <c r="B1049" s="7" t="str">
        <f>HYPERLINK("https://twitter.com/XxAlexcsxX","@XxAlexcsxX")</f>
        <v>@XxAlexcsxX</v>
      </c>
      <c r="C1049" s="8" t="s">
        <v>4362</v>
      </c>
      <c r="D1049" s="9" t="s">
        <v>4363</v>
      </c>
      <c r="E1049" s="10" t="str">
        <f>HYPERLINK("https://twitter.com/XxAlexcsxX/status/1070510971263873024","1070510971263873024")</f>
        <v>1070510971263873024</v>
      </c>
      <c r="F1049" s="13" t="s">
        <v>4364</v>
      </c>
      <c r="G1049" s="11"/>
      <c r="H1049" s="11"/>
      <c r="I1049" s="14">
        <v>0</v>
      </c>
      <c r="J1049" s="14">
        <v>0</v>
      </c>
      <c r="K1049" s="15" t="str">
        <f>HYPERLINK("https://www.google.com/","Google")</f>
        <v>Google</v>
      </c>
      <c r="L1049" s="14">
        <v>110</v>
      </c>
      <c r="M1049" s="14">
        <v>86</v>
      </c>
      <c r="N1049" s="14">
        <v>2</v>
      </c>
      <c r="O1049" s="16"/>
      <c r="P1049" s="6">
        <v>42009.634733796294</v>
      </c>
      <c r="Q1049" s="11"/>
      <c r="R1049" s="17" t="s">
        <v>4367</v>
      </c>
      <c r="S1049" s="11"/>
      <c r="T1049" s="11"/>
      <c r="U1049" s="10" t="str">
        <f>HYPERLINK("https://pbs.twimg.com/profile_images/1050952497869873153/Pb-6dLoD.jpg","View")</f>
        <v>View</v>
      </c>
    </row>
    <row r="1050" spans="1:21" ht="51">
      <c r="A1050" s="6">
        <v>43440.158738425926</v>
      </c>
      <c r="B1050" s="7" t="str">
        <f>HYPERLINK("https://twitter.com/PensadorAdelant","@PensadorAdelant")</f>
        <v>@PensadorAdelant</v>
      </c>
      <c r="C1050" s="8" t="s">
        <v>3659</v>
      </c>
      <c r="D1050" s="9" t="s">
        <v>3660</v>
      </c>
      <c r="E1050" s="10" t="str">
        <f>HYPERLINK("https://twitter.com/PensadorAdelant/status/1070510282865283072","1070510282865283072")</f>
        <v>1070510282865283072</v>
      </c>
      <c r="F1050" s="11"/>
      <c r="G1050" s="11"/>
      <c r="H1050" s="11"/>
      <c r="I1050" s="14">
        <v>0</v>
      </c>
      <c r="J1050" s="14">
        <v>1</v>
      </c>
      <c r="K1050" s="15" t="str">
        <f>HYPERLINK("http://twitter.com/download/iphone","Twitter for iPhone")</f>
        <v>Twitter for iPhone</v>
      </c>
      <c r="L1050" s="14">
        <v>18494</v>
      </c>
      <c r="M1050" s="14">
        <v>18028</v>
      </c>
      <c r="N1050" s="14">
        <v>95</v>
      </c>
      <c r="O1050" s="16"/>
      <c r="P1050" s="6">
        <v>41093.922777777778</v>
      </c>
      <c r="Q1050" s="12" t="s">
        <v>29</v>
      </c>
      <c r="R1050" s="17" t="s">
        <v>3661</v>
      </c>
      <c r="S1050" s="13" t="s">
        <v>3662</v>
      </c>
      <c r="T1050" s="11"/>
      <c r="U1050" s="10" t="str">
        <f>HYPERLINK("https://pbs.twimg.com/profile_images/2721916731/2cb0add7045b90655de1e522d1ae4057.jpeg","View")</f>
        <v>View</v>
      </c>
    </row>
    <row r="1051" spans="1:21" ht="30.6">
      <c r="A1051" s="6">
        <v>43440.135787037041</v>
      </c>
      <c r="B1051" s="7" t="str">
        <f>HYPERLINK("https://twitter.com/MBarazas","@MBarazas")</f>
        <v>@MBarazas</v>
      </c>
      <c r="C1051" s="8" t="s">
        <v>3663</v>
      </c>
      <c r="D1051" s="9" t="s">
        <v>3664</v>
      </c>
      <c r="E1051" s="10" t="str">
        <f>HYPERLINK("https://twitter.com/MBarazas/status/1070501968743940096","1070501968743940096")</f>
        <v>1070501968743940096</v>
      </c>
      <c r="F1051" s="11"/>
      <c r="G1051" s="11"/>
      <c r="H1051" s="11"/>
      <c r="I1051" s="14">
        <v>0</v>
      </c>
      <c r="J1051" s="14">
        <v>1</v>
      </c>
      <c r="K1051" s="15" t="str">
        <f>HYPERLINK("http://twitter.com/download/android","Twitter for Android")</f>
        <v>Twitter for Android</v>
      </c>
      <c r="L1051" s="14">
        <v>49</v>
      </c>
      <c r="M1051" s="14">
        <v>139</v>
      </c>
      <c r="N1051" s="14">
        <v>0</v>
      </c>
      <c r="O1051" s="16"/>
      <c r="P1051" s="6">
        <v>41239.152129629627</v>
      </c>
      <c r="Q1051" s="12" t="s">
        <v>3665</v>
      </c>
      <c r="R1051" s="17" t="s">
        <v>3666</v>
      </c>
      <c r="S1051" s="11"/>
      <c r="T1051" s="11"/>
      <c r="U1051" s="10" t="str">
        <f>HYPERLINK("https://pbs.twimg.com/profile_images/2896838439/a8a3251b132b17c878f572d3566dfdf9.jpeg","View")</f>
        <v>View</v>
      </c>
    </row>
    <row r="1052" spans="1:21" ht="51">
      <c r="A1052" s="6">
        <v>43440.130300925928</v>
      </c>
      <c r="B1052" s="7" t="str">
        <f>HYPERLINK("https://twitter.com/twiterdeelfakir","@twiterdeelfakir")</f>
        <v>@twiterdeelfakir</v>
      </c>
      <c r="C1052" s="8" t="s">
        <v>4374</v>
      </c>
      <c r="D1052" s="9" t="s">
        <v>4375</v>
      </c>
      <c r="E1052" s="10" t="str">
        <f>HYPERLINK("https://twitter.com/twiterdeelfakir/status/1070499980392194048","1070499980392194048")</f>
        <v>1070499980392194048</v>
      </c>
      <c r="F1052" s="13" t="s">
        <v>4270</v>
      </c>
      <c r="G1052" s="11"/>
      <c r="H1052" s="11"/>
      <c r="I1052" s="14">
        <v>0</v>
      </c>
      <c r="J1052" s="14">
        <v>0</v>
      </c>
      <c r="K1052" s="15" t="str">
        <f>HYPERLINK("http://twitter.com","Twitter Web Client")</f>
        <v>Twitter Web Client</v>
      </c>
      <c r="L1052" s="14">
        <v>5472</v>
      </c>
      <c r="M1052" s="14">
        <v>5206</v>
      </c>
      <c r="N1052" s="14">
        <v>158</v>
      </c>
      <c r="O1052" s="16"/>
      <c r="P1052" s="6">
        <v>40306.563622685186</v>
      </c>
      <c r="Q1052" s="11"/>
      <c r="R1052" s="17" t="s">
        <v>4377</v>
      </c>
      <c r="S1052" s="11"/>
      <c r="T1052" s="11"/>
      <c r="U1052" s="10" t="str">
        <f>HYPERLINK("https://pbs.twimg.com/profile_images/1063432165164285954/TCn4sdvu.jpg","View")</f>
        <v>View</v>
      </c>
    </row>
    <row r="1053" spans="1:21" ht="51">
      <c r="A1053" s="6">
        <v>43440.126388888893</v>
      </c>
      <c r="B1053" s="7" t="str">
        <f t="shared" ref="B1053:B1054" si="210">HYPERLINK("https://twitter.com/bitMomentum","@bitMomentum")</f>
        <v>@bitMomentum</v>
      </c>
      <c r="C1053" s="8" t="s">
        <v>1889</v>
      </c>
      <c r="D1053" s="9" t="s">
        <v>3667</v>
      </c>
      <c r="E1053" s="10" t="str">
        <f>HYPERLINK("https://twitter.com/bitMomentum/status/1070498559697543169","1070498559697543169")</f>
        <v>1070498559697543169</v>
      </c>
      <c r="F1053" s="11"/>
      <c r="G1053" s="11"/>
      <c r="H1053" s="11"/>
      <c r="I1053" s="14">
        <v>1</v>
      </c>
      <c r="J1053" s="14">
        <v>0</v>
      </c>
      <c r="K1053" s="15" t="str">
        <f t="shared" ref="K1053:K1054" si="211">HYPERLINK("http://www.bitmomentum.com","bitMomentum Bot")</f>
        <v>bitMomentum Bot</v>
      </c>
      <c r="L1053" s="14">
        <v>10254</v>
      </c>
      <c r="M1053" s="14">
        <v>1059</v>
      </c>
      <c r="N1053" s="14">
        <v>263</v>
      </c>
      <c r="O1053" s="16"/>
      <c r="P1053" s="6">
        <v>41608.667511574073</v>
      </c>
      <c r="Q1053" s="11"/>
      <c r="R1053" s="17" t="s">
        <v>1897</v>
      </c>
      <c r="S1053" s="13" t="s">
        <v>1898</v>
      </c>
      <c r="T1053" s="11"/>
      <c r="U1053" s="10" t="str">
        <f t="shared" ref="U1053:U1054" si="212">HYPERLINK("https://pbs.twimg.com/profile_images/378800000862185241/20ij2H3u.png","View")</f>
        <v>View</v>
      </c>
    </row>
    <row r="1054" spans="1:21" ht="51">
      <c r="A1054" s="6">
        <v>43440.125694444447</v>
      </c>
      <c r="B1054" s="7" t="str">
        <f t="shared" si="210"/>
        <v>@bitMomentum</v>
      </c>
      <c r="C1054" s="8" t="s">
        <v>1889</v>
      </c>
      <c r="D1054" s="9" t="s">
        <v>3669</v>
      </c>
      <c r="E1054" s="10" t="str">
        <f>HYPERLINK("https://twitter.com/bitMomentum/status/1070498307993157632","1070498307993157632")</f>
        <v>1070498307993157632</v>
      </c>
      <c r="F1054" s="11"/>
      <c r="G1054" s="11"/>
      <c r="H1054" s="11"/>
      <c r="I1054" s="14">
        <v>1</v>
      </c>
      <c r="J1054" s="14">
        <v>0</v>
      </c>
      <c r="K1054" s="15" t="str">
        <f t="shared" si="211"/>
        <v>bitMomentum Bot</v>
      </c>
      <c r="L1054" s="14">
        <v>10254</v>
      </c>
      <c r="M1054" s="14">
        <v>1059</v>
      </c>
      <c r="N1054" s="14">
        <v>263</v>
      </c>
      <c r="O1054" s="16"/>
      <c r="P1054" s="6">
        <v>41608.667511574073</v>
      </c>
      <c r="Q1054" s="11"/>
      <c r="R1054" s="17" t="s">
        <v>1897</v>
      </c>
      <c r="S1054" s="13" t="s">
        <v>1898</v>
      </c>
      <c r="T1054" s="11"/>
      <c r="U1054" s="10" t="str">
        <f t="shared" si="212"/>
        <v>View</v>
      </c>
    </row>
    <row r="1055" spans="1:21" ht="20.399999999999999">
      <c r="A1055" s="6">
        <v>43440.120740740742</v>
      </c>
      <c r="B1055" s="7" t="str">
        <f>HYPERLINK("https://twitter.com/FermesFer","@FermesFer")</f>
        <v>@FermesFer</v>
      </c>
      <c r="C1055" s="8" t="s">
        <v>1444</v>
      </c>
      <c r="D1055" s="9" t="s">
        <v>3670</v>
      </c>
      <c r="E1055" s="10" t="str">
        <f>HYPERLINK("https://twitter.com/FermesFer/status/1070496513279823873","1070496513279823873")</f>
        <v>1070496513279823873</v>
      </c>
      <c r="F1055" s="11"/>
      <c r="G1055" s="11"/>
      <c r="H1055" s="11"/>
      <c r="I1055" s="14">
        <v>0</v>
      </c>
      <c r="J1055" s="14">
        <v>3</v>
      </c>
      <c r="K1055" s="15" t="str">
        <f>HYPERLINK("https://mobile.twitter.com","Twitter Lite")</f>
        <v>Twitter Lite</v>
      </c>
      <c r="L1055" s="14">
        <v>130</v>
      </c>
      <c r="M1055" s="14">
        <v>313</v>
      </c>
      <c r="N1055" s="14">
        <v>1</v>
      </c>
      <c r="O1055" s="16"/>
      <c r="P1055" s="6">
        <v>40875.506412037037</v>
      </c>
      <c r="Q1055" s="12" t="s">
        <v>477</v>
      </c>
      <c r="R1055" s="18"/>
      <c r="S1055" s="11"/>
      <c r="T1055" s="11"/>
      <c r="U1055" s="10" t="str">
        <f>HYPERLINK("https://pbs.twimg.com/profile_images/1681806976/feer__2_.jpg","View")</f>
        <v>View</v>
      </c>
    </row>
    <row r="1056" spans="1:21" ht="51">
      <c r="A1056" s="6">
        <v>43440.1174537037</v>
      </c>
      <c r="B1056" s="7" t="str">
        <f>HYPERLINK("https://twitter.com/epesimo","@epesimo")</f>
        <v>@epesimo</v>
      </c>
      <c r="C1056" s="8" t="s">
        <v>3679</v>
      </c>
      <c r="D1056" s="9" t="s">
        <v>3680</v>
      </c>
      <c r="E1056" s="10" t="str">
        <f>HYPERLINK("https://twitter.com/epesimo/status/1070495322781216768","1070495322781216768")</f>
        <v>1070495322781216768</v>
      </c>
      <c r="F1056" s="13" t="s">
        <v>3681</v>
      </c>
      <c r="G1056" s="11"/>
      <c r="H1056" s="11"/>
      <c r="I1056" s="14">
        <v>0</v>
      </c>
      <c r="J1056" s="14">
        <v>1</v>
      </c>
      <c r="K1056" s="15" t="str">
        <f>HYPERLINK("http://twitter.com","Twitter Web Client")</f>
        <v>Twitter Web Client</v>
      </c>
      <c r="L1056" s="14">
        <v>193</v>
      </c>
      <c r="M1056" s="14">
        <v>20</v>
      </c>
      <c r="N1056" s="14">
        <v>5</v>
      </c>
      <c r="O1056" s="16"/>
      <c r="P1056" s="6">
        <v>40615.388587962967</v>
      </c>
      <c r="Q1056" s="12" t="s">
        <v>3684</v>
      </c>
      <c r="R1056" s="18"/>
      <c r="S1056" s="13" t="s">
        <v>3685</v>
      </c>
      <c r="T1056" s="11"/>
      <c r="U1056" s="10" t="str">
        <f>HYPERLINK("https://pbs.twimg.com/profile_images/1733161681/epesimo.jpg","View")</f>
        <v>View</v>
      </c>
    </row>
    <row r="1057" spans="1:21" ht="51">
      <c r="A1057" s="6">
        <v>43440.110717592594</v>
      </c>
      <c r="B1057" s="7" t="str">
        <f>HYPERLINK("https://twitter.com/cafexpres","@cafexpres")</f>
        <v>@cafexpres</v>
      </c>
      <c r="C1057" s="8" t="s">
        <v>3686</v>
      </c>
      <c r="D1057" s="9" t="s">
        <v>3687</v>
      </c>
      <c r="E1057" s="10" t="str">
        <f>HYPERLINK("https://twitter.com/cafexpres/status/1070492883445268481","1070492883445268481")</f>
        <v>1070492883445268481</v>
      </c>
      <c r="F1057" s="12" t="s">
        <v>3688</v>
      </c>
      <c r="G1057" s="11"/>
      <c r="H1057" s="11"/>
      <c r="I1057" s="14">
        <v>1</v>
      </c>
      <c r="J1057" s="14">
        <v>0</v>
      </c>
      <c r="K1057" s="15" t="str">
        <f>HYPERLINK("https://mobile.twitter.com","Twitter Lite")</f>
        <v>Twitter Lite</v>
      </c>
      <c r="L1057" s="14">
        <v>2191</v>
      </c>
      <c r="M1057" s="14">
        <v>2576</v>
      </c>
      <c r="N1057" s="14">
        <v>21</v>
      </c>
      <c r="O1057" s="16"/>
      <c r="P1057" s="6">
        <v>40744.710173611107</v>
      </c>
      <c r="Q1057" s="11"/>
      <c r="R1057" s="17" t="s">
        <v>3692</v>
      </c>
      <c r="S1057" s="11"/>
      <c r="T1057" s="11"/>
      <c r="U1057" s="10" t="str">
        <f>HYPERLINK("https://pbs.twimg.com/profile_images/679830543354171392/1HlU6W9K.jpg","View")</f>
        <v>View</v>
      </c>
    </row>
    <row r="1058" spans="1:21" ht="71.400000000000006">
      <c r="A1058" s="6">
        <v>43440.1</v>
      </c>
      <c r="B1058" s="7" t="str">
        <f>HYPERLINK("https://twitter.com/AurelioBelandoM","@AurelioBelandoM")</f>
        <v>@AurelioBelandoM</v>
      </c>
      <c r="C1058" s="8" t="s">
        <v>199</v>
      </c>
      <c r="D1058" s="9" t="s">
        <v>3695</v>
      </c>
      <c r="E1058" s="10" t="str">
        <f>HYPERLINK("https://twitter.com/AurelioBelandoM/status/1070488999981133824","1070488999981133824")</f>
        <v>1070488999981133824</v>
      </c>
      <c r="F1058" s="12" t="s">
        <v>3696</v>
      </c>
      <c r="G1058" s="11"/>
      <c r="H1058" s="11"/>
      <c r="I1058" s="14">
        <v>0</v>
      </c>
      <c r="J1058" s="14">
        <v>0</v>
      </c>
      <c r="K1058" s="15" t="str">
        <f t="shared" ref="K1058:K1059" si="213">HYPERLINK("http://twitter.com/download/android","Twitter for Android")</f>
        <v>Twitter for Android</v>
      </c>
      <c r="L1058" s="14">
        <v>6828</v>
      </c>
      <c r="M1058" s="14">
        <v>5124</v>
      </c>
      <c r="N1058" s="14">
        <v>226</v>
      </c>
      <c r="O1058" s="16"/>
      <c r="P1058" s="6">
        <v>40291.105497685188</v>
      </c>
      <c r="Q1058" s="11"/>
      <c r="R1058" s="17" t="s">
        <v>206</v>
      </c>
      <c r="S1058" s="13" t="s">
        <v>208</v>
      </c>
      <c r="T1058" s="11"/>
      <c r="U1058" s="10" t="str">
        <f>HYPERLINK("https://pbs.twimg.com/profile_images/1062708049792638978/L9S9spOI.jpg","View")</f>
        <v>View</v>
      </c>
    </row>
    <row r="1059" spans="1:21" ht="61.2">
      <c r="A1059" s="6">
        <v>43440.094675925924</v>
      </c>
      <c r="B1059" s="7" t="str">
        <f>HYPERLINK("https://twitter.com/RosiRoj87622021","@RosiRoj87622021")</f>
        <v>@RosiRoj87622021</v>
      </c>
      <c r="C1059" s="8" t="s">
        <v>4395</v>
      </c>
      <c r="D1059" s="9" t="s">
        <v>4396</v>
      </c>
      <c r="E1059" s="10" t="str">
        <f>HYPERLINK("https://twitter.com/RosiRoj87622021/status/1070487068147634176","1070487068147634176")</f>
        <v>1070487068147634176</v>
      </c>
      <c r="F1059" s="11"/>
      <c r="G1059" s="13" t="s">
        <v>4397</v>
      </c>
      <c r="H1059" s="11"/>
      <c r="I1059" s="14">
        <v>1</v>
      </c>
      <c r="J1059" s="14">
        <v>0</v>
      </c>
      <c r="K1059" s="15" t="str">
        <f t="shared" si="213"/>
        <v>Twitter for Android</v>
      </c>
      <c r="L1059" s="14">
        <v>8</v>
      </c>
      <c r="M1059" s="14">
        <v>21</v>
      </c>
      <c r="N1059" s="14">
        <v>0</v>
      </c>
      <c r="O1059" s="16"/>
      <c r="P1059" s="6">
        <v>43417.544479166667</v>
      </c>
      <c r="Q1059" s="11"/>
      <c r="R1059" s="17" t="s">
        <v>4400</v>
      </c>
      <c r="S1059" s="11"/>
      <c r="T1059" s="11"/>
      <c r="U1059" s="10" t="str">
        <f>HYPERLINK("https://pbs.twimg.com/profile_images/1062317741573595136/X183KG8P.jpg","View")</f>
        <v>View</v>
      </c>
    </row>
    <row r="1060" spans="1:21" ht="51">
      <c r="A1060" s="6">
        <v>43440.084722222222</v>
      </c>
      <c r="B1060" s="7" t="str">
        <f t="shared" ref="B1060:B1061" si="214">HYPERLINK("https://twitter.com/bitMomentum","@bitMomentum")</f>
        <v>@bitMomentum</v>
      </c>
      <c r="C1060" s="8" t="s">
        <v>1889</v>
      </c>
      <c r="D1060" s="9" t="s">
        <v>3701</v>
      </c>
      <c r="E1060" s="10" t="str">
        <f>HYPERLINK("https://twitter.com/bitMomentum/status/1070483460198932481","1070483460198932481")</f>
        <v>1070483460198932481</v>
      </c>
      <c r="F1060" s="11"/>
      <c r="G1060" s="11"/>
      <c r="H1060" s="11"/>
      <c r="I1060" s="14">
        <v>0</v>
      </c>
      <c r="J1060" s="14">
        <v>0</v>
      </c>
      <c r="K1060" s="15" t="str">
        <f t="shared" ref="K1060:K1061" si="215">HYPERLINK("http://www.bitmomentum.com","bitMomentum Bot")</f>
        <v>bitMomentum Bot</v>
      </c>
      <c r="L1060" s="14">
        <v>10254</v>
      </c>
      <c r="M1060" s="14">
        <v>1059</v>
      </c>
      <c r="N1060" s="14">
        <v>263</v>
      </c>
      <c r="O1060" s="16"/>
      <c r="P1060" s="6">
        <v>41608.667511574073</v>
      </c>
      <c r="Q1060" s="11"/>
      <c r="R1060" s="17" t="s">
        <v>1897</v>
      </c>
      <c r="S1060" s="13" t="s">
        <v>1898</v>
      </c>
      <c r="T1060" s="11"/>
      <c r="U1060" s="10" t="str">
        <f t="shared" ref="U1060:U1061" si="216">HYPERLINK("https://pbs.twimg.com/profile_images/378800000862185241/20ij2H3u.png","View")</f>
        <v>View</v>
      </c>
    </row>
    <row r="1061" spans="1:21" ht="51">
      <c r="A1061" s="6">
        <v>43440.084027777775</v>
      </c>
      <c r="B1061" s="7" t="str">
        <f t="shared" si="214"/>
        <v>@bitMomentum</v>
      </c>
      <c r="C1061" s="8" t="s">
        <v>1889</v>
      </c>
      <c r="D1061" s="9" t="s">
        <v>3702</v>
      </c>
      <c r="E1061" s="10" t="str">
        <f>HYPERLINK("https://twitter.com/bitMomentum/status/1070483208586870785","1070483208586870785")</f>
        <v>1070483208586870785</v>
      </c>
      <c r="F1061" s="11"/>
      <c r="G1061" s="11"/>
      <c r="H1061" s="11"/>
      <c r="I1061" s="14">
        <v>0</v>
      </c>
      <c r="J1061" s="14">
        <v>0</v>
      </c>
      <c r="K1061" s="15" t="str">
        <f t="shared" si="215"/>
        <v>bitMomentum Bot</v>
      </c>
      <c r="L1061" s="14">
        <v>10254</v>
      </c>
      <c r="M1061" s="14">
        <v>1059</v>
      </c>
      <c r="N1061" s="14">
        <v>263</v>
      </c>
      <c r="O1061" s="16"/>
      <c r="P1061" s="6">
        <v>41608.667511574073</v>
      </c>
      <c r="Q1061" s="11"/>
      <c r="R1061" s="17" t="s">
        <v>1897</v>
      </c>
      <c r="S1061" s="13" t="s">
        <v>1898</v>
      </c>
      <c r="T1061" s="11"/>
      <c r="U1061" s="10" t="str">
        <f t="shared" si="216"/>
        <v>View</v>
      </c>
    </row>
    <row r="1062" spans="1:21" ht="102">
      <c r="A1062" s="6">
        <v>43440.083761574075</v>
      </c>
      <c r="B1062" s="7" t="str">
        <f>HYPERLINK("https://twitter.com/carapipa71","@carapipa71")</f>
        <v>@carapipa71</v>
      </c>
      <c r="C1062" s="8" t="s">
        <v>3703</v>
      </c>
      <c r="D1062" s="9" t="s">
        <v>3704</v>
      </c>
      <c r="E1062" s="10" t="str">
        <f>HYPERLINK("https://twitter.com/carapipa71/status/1070483113283866624","1070483113283866624")</f>
        <v>1070483113283866624</v>
      </c>
      <c r="F1062" s="13" t="s">
        <v>1853</v>
      </c>
      <c r="G1062" s="13" t="s">
        <v>1835</v>
      </c>
      <c r="H1062" s="11"/>
      <c r="I1062" s="14">
        <v>0</v>
      </c>
      <c r="J1062" s="14">
        <v>1</v>
      </c>
      <c r="K1062" s="15" t="str">
        <f t="shared" ref="K1062:K1063" si="217">HYPERLINK("http://twitter.com/download/android","Twitter for Android")</f>
        <v>Twitter for Android</v>
      </c>
      <c r="L1062" s="14">
        <v>100</v>
      </c>
      <c r="M1062" s="14">
        <v>165</v>
      </c>
      <c r="N1062" s="14">
        <v>0</v>
      </c>
      <c r="O1062" s="16"/>
      <c r="P1062" s="6">
        <v>41330.096539351856</v>
      </c>
      <c r="Q1062" s="12" t="s">
        <v>3707</v>
      </c>
      <c r="R1062" s="17" t="s">
        <v>3708</v>
      </c>
      <c r="S1062" s="11"/>
      <c r="T1062" s="11"/>
      <c r="U1062" s="10" t="str">
        <f>HYPERLINK("https://pbs.twimg.com/profile_images/1048720316992827392/8WdaHPsq.jpg","View")</f>
        <v>View</v>
      </c>
    </row>
    <row r="1063" spans="1:21" ht="61.2">
      <c r="A1063" s="6">
        <v>43440.073321759264</v>
      </c>
      <c r="B1063" s="7" t="str">
        <f>HYPERLINK("https://twitter.com/tierra_los","@tierra_los")</f>
        <v>@tierra_los</v>
      </c>
      <c r="C1063" s="8" t="s">
        <v>2935</v>
      </c>
      <c r="D1063" s="9" t="s">
        <v>3710</v>
      </c>
      <c r="E1063" s="10" t="str">
        <f>HYPERLINK("https://twitter.com/tierra_los/status/1070479328754966529","1070479328754966529")</f>
        <v>1070479328754966529</v>
      </c>
      <c r="F1063" s="12" t="s">
        <v>3711</v>
      </c>
      <c r="G1063" s="11"/>
      <c r="H1063" s="11"/>
      <c r="I1063" s="14">
        <v>0</v>
      </c>
      <c r="J1063" s="14">
        <v>0</v>
      </c>
      <c r="K1063" s="15" t="str">
        <f t="shared" si="217"/>
        <v>Twitter for Android</v>
      </c>
      <c r="L1063" s="14">
        <v>29</v>
      </c>
      <c r="M1063" s="14">
        <v>95</v>
      </c>
      <c r="N1063" s="14">
        <v>0</v>
      </c>
      <c r="O1063" s="16"/>
      <c r="P1063" s="6">
        <v>43250.606956018513</v>
      </c>
      <c r="Q1063" s="11"/>
      <c r="R1063" s="17" t="s">
        <v>2940</v>
      </c>
      <c r="S1063" s="11"/>
      <c r="T1063" s="11"/>
      <c r="U1063" s="10" t="str">
        <f>HYPERLINK("https://pbs.twimg.com/profile_images/1007042885836042247/Vu_SsZtp.jpg","View")</f>
        <v>View</v>
      </c>
    </row>
    <row r="1064" spans="1:21" ht="20.399999999999999">
      <c r="A1064" s="6">
        <v>43440.071284722224</v>
      </c>
      <c r="B1064" s="7" t="str">
        <f>HYPERLINK("https://twitter.com/PBMarbeMalaga","@PBMarbeMalaga")</f>
        <v>@PBMarbeMalaga</v>
      </c>
      <c r="C1064" s="8" t="s">
        <v>618</v>
      </c>
      <c r="D1064" s="9" t="s">
        <v>4414</v>
      </c>
      <c r="E1064" s="10" t="str">
        <f>HYPERLINK("https://twitter.com/PBMarbeMalaga/status/1070478592528826368","1070478592528826368")</f>
        <v>1070478592528826368</v>
      </c>
      <c r="F1064" s="13" t="s">
        <v>4415</v>
      </c>
      <c r="G1064" s="11"/>
      <c r="H1064" s="11"/>
      <c r="I1064" s="14">
        <v>0</v>
      </c>
      <c r="J1064" s="14">
        <v>0</v>
      </c>
      <c r="K1064" s="15" t="str">
        <f>HYPERLINK("https://javitang.ddns.net","PBMarbeMalaga")</f>
        <v>PBMarbeMalaga</v>
      </c>
      <c r="L1064" s="14">
        <v>1316</v>
      </c>
      <c r="M1064" s="14">
        <v>1358</v>
      </c>
      <c r="N1064" s="14">
        <v>2</v>
      </c>
      <c r="O1064" s="16"/>
      <c r="P1064" s="6">
        <v>43149.814074074078</v>
      </c>
      <c r="Q1064" s="12" t="s">
        <v>621</v>
      </c>
      <c r="R1064" s="17" t="s">
        <v>622</v>
      </c>
      <c r="S1064" s="11"/>
      <c r="T1064" s="11"/>
      <c r="U1064" s="10" t="str">
        <f>HYPERLINK("https://pbs.twimg.com/profile_images/965296691145531392/sAFnfUu2.jpg","View")</f>
        <v>View</v>
      </c>
    </row>
    <row r="1065" spans="1:21" ht="51">
      <c r="A1065" s="6">
        <v>43440.06759259259</v>
      </c>
      <c r="B1065" s="7" t="str">
        <f>HYPERLINK("https://twitter.com/pepitongrillon","@pepitongrillon")</f>
        <v>@pepitongrillon</v>
      </c>
      <c r="C1065" s="8" t="s">
        <v>3712</v>
      </c>
      <c r="D1065" s="9" t="s">
        <v>3713</v>
      </c>
      <c r="E1065" s="10" t="str">
        <f>HYPERLINK("https://twitter.com/pepitongrillon/status/1070477253455294465","1070477253455294465")</f>
        <v>1070477253455294465</v>
      </c>
      <c r="F1065" s="13" t="s">
        <v>3714</v>
      </c>
      <c r="G1065" s="11"/>
      <c r="H1065" s="11"/>
      <c r="I1065" s="14">
        <v>0</v>
      </c>
      <c r="J1065" s="14">
        <v>0</v>
      </c>
      <c r="K1065" s="15" t="str">
        <f>HYPERLINK("http://twitter.com/download/android","Twitter for Android")</f>
        <v>Twitter for Android</v>
      </c>
      <c r="L1065" s="14">
        <v>1048</v>
      </c>
      <c r="M1065" s="14">
        <v>948</v>
      </c>
      <c r="N1065" s="14">
        <v>2</v>
      </c>
      <c r="O1065" s="16"/>
      <c r="P1065" s="6">
        <v>43211.380381944444</v>
      </c>
      <c r="Q1065" s="12" t="s">
        <v>3715</v>
      </c>
      <c r="R1065" s="17" t="s">
        <v>3716</v>
      </c>
      <c r="S1065" s="11"/>
      <c r="T1065" s="11"/>
      <c r="U1065" s="10" t="str">
        <f>HYPERLINK("https://pbs.twimg.com/profile_images/1010212097660157955/uutC5HgS.jpg","View")</f>
        <v>View</v>
      </c>
    </row>
    <row r="1066" spans="1:21" ht="40.799999999999997">
      <c r="A1066" s="6">
        <v>43440.067106481481</v>
      </c>
      <c r="B1066" s="7" t="str">
        <f>HYPERLINK("https://twitter.com/AlexisMariM","@AlexisMariM")</f>
        <v>@AlexisMariM</v>
      </c>
      <c r="C1066" s="8" t="s">
        <v>3717</v>
      </c>
      <c r="D1066" s="9" t="s">
        <v>3718</v>
      </c>
      <c r="E1066" s="10" t="str">
        <f>HYPERLINK("https://twitter.com/AlexisMariM/status/1070477076120121344","1070477076120121344")</f>
        <v>1070477076120121344</v>
      </c>
      <c r="F1066" s="11"/>
      <c r="G1066" s="11"/>
      <c r="H1066" s="11"/>
      <c r="I1066" s="14">
        <v>8</v>
      </c>
      <c r="J1066" s="14">
        <v>25</v>
      </c>
      <c r="K1066" s="15" t="str">
        <f t="shared" ref="K1066:K1067" si="218">HYPERLINK("http://twitter.com","Twitter Web Client")</f>
        <v>Twitter Web Client</v>
      </c>
      <c r="L1066" s="14">
        <v>6151</v>
      </c>
      <c r="M1066" s="14">
        <v>2607</v>
      </c>
      <c r="N1066" s="14">
        <v>73</v>
      </c>
      <c r="O1066" s="16"/>
      <c r="P1066" s="6">
        <v>40783.946504629632</v>
      </c>
      <c r="Q1066" s="12" t="s">
        <v>3723</v>
      </c>
      <c r="R1066" s="17" t="s">
        <v>3724</v>
      </c>
      <c r="S1066" s="11"/>
      <c r="T1066" s="11"/>
      <c r="U1066" s="10" t="str">
        <f>HYPERLINK("https://pbs.twimg.com/profile_images/972429526222491648/Na1cQ0TX.jpg","View")</f>
        <v>View</v>
      </c>
    </row>
    <row r="1067" spans="1:21" ht="40.799999999999997">
      <c r="A1067" s="6">
        <v>43440.066354166665</v>
      </c>
      <c r="B1067" s="7" t="str">
        <f>HYPERLINK("https://twitter.com/Bundesbankio","@Bundesbankio")</f>
        <v>@Bundesbankio</v>
      </c>
      <c r="C1067" s="8" t="s">
        <v>3727</v>
      </c>
      <c r="D1067" s="9" t="s">
        <v>3728</v>
      </c>
      <c r="E1067" s="10" t="str">
        <f>HYPERLINK("https://twitter.com/Bundesbankio/status/1070476806405394433","1070476806405394433")</f>
        <v>1070476806405394433</v>
      </c>
      <c r="F1067" s="12" t="s">
        <v>3730</v>
      </c>
      <c r="G1067" s="11"/>
      <c r="H1067" s="11"/>
      <c r="I1067" s="14">
        <v>0</v>
      </c>
      <c r="J1067" s="14">
        <v>1</v>
      </c>
      <c r="K1067" s="15" t="str">
        <f t="shared" si="218"/>
        <v>Twitter Web Client</v>
      </c>
      <c r="L1067" s="14">
        <v>27</v>
      </c>
      <c r="M1067" s="14">
        <v>46</v>
      </c>
      <c r="N1067" s="14">
        <v>1</v>
      </c>
      <c r="O1067" s="16"/>
      <c r="P1067" s="6">
        <v>42993.783194444448</v>
      </c>
      <c r="Q1067" s="11"/>
      <c r="R1067" s="18"/>
      <c r="S1067" s="11"/>
      <c r="T1067" s="11"/>
      <c r="U1067" s="10" t="str">
        <f>HYPERLINK("https://pbs.twimg.com/profile_images/957767081914699776/vBWQ1YbR.jpg","View")</f>
        <v>View</v>
      </c>
    </row>
    <row r="1068" spans="1:21" ht="30.6">
      <c r="A1068" s="6">
        <v>43440.057071759264</v>
      </c>
      <c r="B1068" s="7" t="str">
        <f>HYPERLINK("https://twitter.com/TElmering","@TElmering")</f>
        <v>@TElmering</v>
      </c>
      <c r="C1068" s="8" t="s">
        <v>3734</v>
      </c>
      <c r="D1068" s="9" t="s">
        <v>3735</v>
      </c>
      <c r="E1068" s="10" t="str">
        <f>HYPERLINK("https://twitter.com/TElmering/status/1070473443286630401","1070473443286630401")</f>
        <v>1070473443286630401</v>
      </c>
      <c r="F1068" s="11"/>
      <c r="G1068" s="13" t="s">
        <v>3736</v>
      </c>
      <c r="H1068" s="11"/>
      <c r="I1068" s="14">
        <v>3</v>
      </c>
      <c r="J1068" s="14">
        <v>3</v>
      </c>
      <c r="K1068" s="15" t="str">
        <f t="shared" ref="K1068:K1069" si="219">HYPERLINK("http://twitter.com/download/android","Twitter for Android")</f>
        <v>Twitter for Android</v>
      </c>
      <c r="L1068" s="14">
        <v>252</v>
      </c>
      <c r="M1068" s="14">
        <v>1056</v>
      </c>
      <c r="N1068" s="14">
        <v>2</v>
      </c>
      <c r="O1068" s="16"/>
      <c r="P1068" s="6">
        <v>41088.930648148147</v>
      </c>
      <c r="Q1068" s="12" t="s">
        <v>3740</v>
      </c>
      <c r="R1068" s="17" t="s">
        <v>3742</v>
      </c>
      <c r="S1068" s="11"/>
      <c r="T1068" s="11"/>
      <c r="U1068" s="10" t="str">
        <f>HYPERLINK("https://pbs.twimg.com/profile_images/737884848795353088/psYJR49n.jpg","View")</f>
        <v>View</v>
      </c>
    </row>
    <row r="1069" spans="1:21" ht="40.799999999999997">
      <c r="A1069" s="6">
        <v>43440.056597222225</v>
      </c>
      <c r="B1069" s="7" t="str">
        <f>HYPERLINK("https://twitter.com/Soredita","@Soredita")</f>
        <v>@Soredita</v>
      </c>
      <c r="C1069" s="8" t="s">
        <v>3744</v>
      </c>
      <c r="D1069" s="9" t="s">
        <v>3745</v>
      </c>
      <c r="E1069" s="10" t="str">
        <f>HYPERLINK("https://twitter.com/Soredita/status/1070473268728078336","1070473268728078336")</f>
        <v>1070473268728078336</v>
      </c>
      <c r="F1069" s="11"/>
      <c r="G1069" s="11"/>
      <c r="H1069" s="11"/>
      <c r="I1069" s="14">
        <v>0</v>
      </c>
      <c r="J1069" s="14">
        <v>0</v>
      </c>
      <c r="K1069" s="15" t="str">
        <f t="shared" si="219"/>
        <v>Twitter for Android</v>
      </c>
      <c r="L1069" s="14">
        <v>130</v>
      </c>
      <c r="M1069" s="14">
        <v>562</v>
      </c>
      <c r="N1069" s="14">
        <v>0</v>
      </c>
      <c r="O1069" s="16"/>
      <c r="P1069" s="6">
        <v>40323.752233796295</v>
      </c>
      <c r="Q1069" s="11"/>
      <c r="R1069" s="18"/>
      <c r="S1069" s="11"/>
      <c r="T1069" s="11"/>
      <c r="U1069" s="10" t="str">
        <f>HYPERLINK("https://pbs.twimg.com/profile_images/958499652072075265/aOii93Ca.jpg","View")</f>
        <v>View</v>
      </c>
    </row>
    <row r="1070" spans="1:21" ht="40.799999999999997">
      <c r="A1070" s="6">
        <v>43440.054502314815</v>
      </c>
      <c r="B1070" s="7" t="str">
        <f>HYPERLINK("https://twitter.com/boniazuaga","@boniazuaga")</f>
        <v>@boniazuaga</v>
      </c>
      <c r="C1070" s="8" t="s">
        <v>4437</v>
      </c>
      <c r="D1070" s="9" t="s">
        <v>4438</v>
      </c>
      <c r="E1070" s="10" t="str">
        <f>HYPERLINK("https://twitter.com/boniazuaga/status/1070472508988682241","1070472508988682241")</f>
        <v>1070472508988682241</v>
      </c>
      <c r="F1070" s="13" t="s">
        <v>2517</v>
      </c>
      <c r="G1070" s="11"/>
      <c r="H1070" s="11"/>
      <c r="I1070" s="14">
        <v>0</v>
      </c>
      <c r="J1070" s="14">
        <v>0</v>
      </c>
      <c r="K1070" s="15" t="str">
        <f>HYPERLINK("http://www.facebook.com/twitter","Facebook")</f>
        <v>Facebook</v>
      </c>
      <c r="L1070" s="14">
        <v>298</v>
      </c>
      <c r="M1070" s="14">
        <v>380</v>
      </c>
      <c r="N1070" s="14">
        <v>2</v>
      </c>
      <c r="O1070" s="16"/>
      <c r="P1070" s="6">
        <v>40319.562384259261</v>
      </c>
      <c r="Q1070" s="12" t="s">
        <v>1695</v>
      </c>
      <c r="R1070" s="18"/>
      <c r="S1070" s="13" t="s">
        <v>4442</v>
      </c>
      <c r="T1070" s="11"/>
      <c r="U1070" s="10" t="str">
        <f>HYPERLINK("https://pbs.twimg.com/profile_images/974957631373758464/LHzZ89Rc.jpg","View")</f>
        <v>View</v>
      </c>
    </row>
    <row r="1071" spans="1:21" ht="20.399999999999999">
      <c r="A1071" s="6">
        <v>43440.052048611113</v>
      </c>
      <c r="B1071" s="7" t="str">
        <f>HYPERLINK("https://twitter.com/CAUTEXA","@CAUTEXA")</f>
        <v>@CAUTEXA</v>
      </c>
      <c r="C1071" s="8" t="s">
        <v>4444</v>
      </c>
      <c r="D1071" s="9" t="s">
        <v>4445</v>
      </c>
      <c r="E1071" s="10" t="str">
        <f>HYPERLINK("https://twitter.com/CAUTEXA/status/1070471620559601664","1070471620559601664")</f>
        <v>1070471620559601664</v>
      </c>
      <c r="F1071" s="13" t="s">
        <v>4447</v>
      </c>
      <c r="G1071" s="11"/>
      <c r="H1071" s="11"/>
      <c r="I1071" s="14">
        <v>0</v>
      </c>
      <c r="J1071" s="14">
        <v>0</v>
      </c>
      <c r="K1071" s="15" t="str">
        <f>HYPERLINK("http://twitter.com","Twitter Web Client")</f>
        <v>Twitter Web Client</v>
      </c>
      <c r="L1071" s="14">
        <v>103</v>
      </c>
      <c r="M1071" s="14">
        <v>266</v>
      </c>
      <c r="N1071" s="14">
        <v>1</v>
      </c>
      <c r="O1071" s="16"/>
      <c r="P1071" s="6">
        <v>40532.002060185187</v>
      </c>
      <c r="Q1071" s="12" t="s">
        <v>979</v>
      </c>
      <c r="R1071" s="18"/>
      <c r="S1071" s="11"/>
      <c r="T1071" s="11"/>
      <c r="U1071" s="10" t="str">
        <f>HYPERLINK("https://pbs.twimg.com/profile_images/1834253769/MGA.jpg","View")</f>
        <v>View</v>
      </c>
    </row>
    <row r="1072" spans="1:21" ht="40.799999999999997">
      <c r="A1072" s="6">
        <v>43440.048090277778</v>
      </c>
      <c r="B1072" s="7" t="str">
        <f>HYPERLINK("https://twitter.com/oitaven","@oitaven")</f>
        <v>@oitaven</v>
      </c>
      <c r="C1072" s="8" t="s">
        <v>3748</v>
      </c>
      <c r="D1072" s="9" t="s">
        <v>3749</v>
      </c>
      <c r="E1072" s="10" t="str">
        <f>HYPERLINK("https://twitter.com/oitaven/status/1070470185038036992","1070470185038036992")</f>
        <v>1070470185038036992</v>
      </c>
      <c r="F1072" s="13" t="s">
        <v>3753</v>
      </c>
      <c r="G1072" s="11"/>
      <c r="H1072" s="11"/>
      <c r="I1072" s="14">
        <v>0</v>
      </c>
      <c r="J1072" s="14">
        <v>0</v>
      </c>
      <c r="K1072" s="15" t="str">
        <f>HYPERLINK("http://twitter.com/download/android","Twitter for Android")</f>
        <v>Twitter for Android</v>
      </c>
      <c r="L1072" s="14">
        <v>372</v>
      </c>
      <c r="M1072" s="14">
        <v>1154</v>
      </c>
      <c r="N1072" s="14">
        <v>2</v>
      </c>
      <c r="O1072" s="16"/>
      <c r="P1072" s="6">
        <v>40342.016446759255</v>
      </c>
      <c r="Q1072" s="11"/>
      <c r="R1072" s="17" t="s">
        <v>3756</v>
      </c>
      <c r="S1072" s="11"/>
      <c r="T1072" s="11"/>
      <c r="U1072" s="10" t="str">
        <f>HYPERLINK("https://pbs.twimg.com/profile_images/916703450469142529/vlCd_u33.jpg","View")</f>
        <v>View</v>
      </c>
    </row>
    <row r="1073" spans="1:21" ht="91.8">
      <c r="A1073" s="6">
        <v>43440.047442129631</v>
      </c>
      <c r="B1073" s="7" t="str">
        <f>HYPERLINK("https://twitter.com/EstTartessica","@EstTartessica")</f>
        <v>@EstTartessica</v>
      </c>
      <c r="C1073" s="20" t="s">
        <v>951</v>
      </c>
      <c r="D1073" s="9" t="s">
        <v>4450</v>
      </c>
      <c r="E1073" s="10" t="str">
        <f>HYPERLINK("https://twitter.com/EstTartessica/status/1070469953353121792","1070469953353121792")</f>
        <v>1070469953353121792</v>
      </c>
      <c r="F1073" s="13" t="s">
        <v>2056</v>
      </c>
      <c r="G1073" s="13" t="s">
        <v>2057</v>
      </c>
      <c r="H1073" s="11"/>
      <c r="I1073" s="14">
        <v>0</v>
      </c>
      <c r="J1073" s="14">
        <v>0</v>
      </c>
      <c r="K1073" s="15" t="str">
        <f>HYPERLINK("https://mobile.twitter.com","Twitter Lite")</f>
        <v>Twitter Lite</v>
      </c>
      <c r="L1073" s="14">
        <v>297</v>
      </c>
      <c r="M1073" s="14">
        <v>906</v>
      </c>
      <c r="N1073" s="14">
        <v>1</v>
      </c>
      <c r="O1073" s="16"/>
      <c r="P1073" s="6">
        <v>43267.836319444439</v>
      </c>
      <c r="Q1073" s="11"/>
      <c r="R1073" s="17" t="s">
        <v>954</v>
      </c>
      <c r="S1073" s="11"/>
      <c r="T1073" s="11"/>
      <c r="U1073" s="10" t="str">
        <f>HYPERLINK("https://pbs.twimg.com/profile_images/1069354805750042624/3HNj9_X0.jpg","View")</f>
        <v>View</v>
      </c>
    </row>
    <row r="1074" spans="1:21" ht="51">
      <c r="A1074" s="6">
        <v>43440.04315972222</v>
      </c>
      <c r="B1074" s="7" t="str">
        <f>HYPERLINK("https://twitter.com/juangar_7","@juangar_7")</f>
        <v>@juangar_7</v>
      </c>
      <c r="C1074" s="8" t="s">
        <v>3760</v>
      </c>
      <c r="D1074" s="9" t="s">
        <v>3761</v>
      </c>
      <c r="E1074" s="10" t="str">
        <f>HYPERLINK("https://twitter.com/juangar_7/status/1070468398172250114","1070468398172250114")</f>
        <v>1070468398172250114</v>
      </c>
      <c r="F1074" s="11"/>
      <c r="G1074" s="11"/>
      <c r="H1074" s="11"/>
      <c r="I1074" s="14">
        <v>0</v>
      </c>
      <c r="J1074" s="14">
        <v>1</v>
      </c>
      <c r="K1074" s="15" t="str">
        <f>HYPERLINK("http://twitter.com/download/android","Twitter for Android")</f>
        <v>Twitter for Android</v>
      </c>
      <c r="L1074" s="14">
        <v>402</v>
      </c>
      <c r="M1074" s="14">
        <v>158</v>
      </c>
      <c r="N1074" s="14">
        <v>10</v>
      </c>
      <c r="O1074" s="16"/>
      <c r="P1074" s="6">
        <v>41001.269687499997</v>
      </c>
      <c r="Q1074" s="12" t="s">
        <v>3766</v>
      </c>
      <c r="R1074" s="17" t="s">
        <v>3767</v>
      </c>
      <c r="S1074" s="11"/>
      <c r="T1074" s="11"/>
      <c r="U1074" s="10" t="str">
        <f>HYPERLINK("https://pbs.twimg.com/profile_images/950062018815459328/cZ6297iq.jpg","View")</f>
        <v>View</v>
      </c>
    </row>
    <row r="1075" spans="1:21" ht="51">
      <c r="A1075" s="6">
        <v>43440.04305555555</v>
      </c>
      <c r="B1075" s="7" t="str">
        <f t="shared" ref="B1075:B1076" si="220">HYPERLINK("https://twitter.com/bitMomentum","@bitMomentum")</f>
        <v>@bitMomentum</v>
      </c>
      <c r="C1075" s="8" t="s">
        <v>1889</v>
      </c>
      <c r="D1075" s="9" t="s">
        <v>3772</v>
      </c>
      <c r="E1075" s="10" t="str">
        <f>HYPERLINK("https://twitter.com/bitMomentum/status/1070468360687771649","1070468360687771649")</f>
        <v>1070468360687771649</v>
      </c>
      <c r="F1075" s="11"/>
      <c r="G1075" s="11"/>
      <c r="H1075" s="11"/>
      <c r="I1075" s="14">
        <v>0</v>
      </c>
      <c r="J1075" s="14">
        <v>1</v>
      </c>
      <c r="K1075" s="15" t="str">
        <f t="shared" ref="K1075:K1076" si="221">HYPERLINK("http://www.bitmomentum.com","bitMomentum Bot")</f>
        <v>bitMomentum Bot</v>
      </c>
      <c r="L1075" s="14">
        <v>10254</v>
      </c>
      <c r="M1075" s="14">
        <v>1059</v>
      </c>
      <c r="N1075" s="14">
        <v>263</v>
      </c>
      <c r="O1075" s="16"/>
      <c r="P1075" s="6">
        <v>41608.667511574073</v>
      </c>
      <c r="Q1075" s="11"/>
      <c r="R1075" s="17" t="s">
        <v>1897</v>
      </c>
      <c r="S1075" s="13" t="s">
        <v>1898</v>
      </c>
      <c r="T1075" s="11"/>
      <c r="U1075" s="10" t="str">
        <f t="shared" ref="U1075:U1076" si="222">HYPERLINK("https://pbs.twimg.com/profile_images/378800000862185241/20ij2H3u.png","View")</f>
        <v>View</v>
      </c>
    </row>
    <row r="1076" spans="1:21" ht="51">
      <c r="A1076" s="6">
        <v>43440.04305555555</v>
      </c>
      <c r="B1076" s="7" t="str">
        <f t="shared" si="220"/>
        <v>@bitMomentum</v>
      </c>
      <c r="C1076" s="8" t="s">
        <v>1889</v>
      </c>
      <c r="D1076" s="9" t="s">
        <v>3776</v>
      </c>
      <c r="E1076" s="10" t="str">
        <f>HYPERLINK("https://twitter.com/bitMomentum/status/1070468360612315136","1070468360612315136")</f>
        <v>1070468360612315136</v>
      </c>
      <c r="F1076" s="11"/>
      <c r="G1076" s="11"/>
      <c r="H1076" s="11"/>
      <c r="I1076" s="14">
        <v>0</v>
      </c>
      <c r="J1076" s="14">
        <v>1</v>
      </c>
      <c r="K1076" s="15" t="str">
        <f t="shared" si="221"/>
        <v>bitMomentum Bot</v>
      </c>
      <c r="L1076" s="14">
        <v>10254</v>
      </c>
      <c r="M1076" s="14">
        <v>1059</v>
      </c>
      <c r="N1076" s="14">
        <v>263</v>
      </c>
      <c r="O1076" s="16"/>
      <c r="P1076" s="6">
        <v>41608.667511574073</v>
      </c>
      <c r="Q1076" s="11"/>
      <c r="R1076" s="17" t="s">
        <v>1897</v>
      </c>
      <c r="S1076" s="13" t="s">
        <v>1898</v>
      </c>
      <c r="T1076" s="11"/>
      <c r="U1076" s="10" t="str">
        <f t="shared" si="222"/>
        <v>View</v>
      </c>
    </row>
    <row r="1077" spans="1:21" ht="81.599999999999994">
      <c r="A1077" s="6">
        <v>43440.042812500003</v>
      </c>
      <c r="B1077" s="7" t="str">
        <f>HYPERLINK("https://twitter.com/doguionrego","@doguionrego")</f>
        <v>@doguionrego</v>
      </c>
      <c r="C1077" s="8" t="s">
        <v>756</v>
      </c>
      <c r="D1077" s="9" t="s">
        <v>3778</v>
      </c>
      <c r="E1077" s="10" t="str">
        <f>HYPERLINK("https://twitter.com/doguionrego/status/1070468273051844608","1070468273051844608")</f>
        <v>1070468273051844608</v>
      </c>
      <c r="F1077" s="13" t="s">
        <v>3780</v>
      </c>
      <c r="G1077" s="11"/>
      <c r="H1077" s="11"/>
      <c r="I1077" s="14">
        <v>2</v>
      </c>
      <c r="J1077" s="14">
        <v>2</v>
      </c>
      <c r="K1077" s="15" t="str">
        <f t="shared" ref="K1077:K1078" si="223">HYPERLINK("http://twitter.com/download/android","Twitter for Android")</f>
        <v>Twitter for Android</v>
      </c>
      <c r="L1077" s="14">
        <v>4649</v>
      </c>
      <c r="M1077" s="14">
        <v>4774</v>
      </c>
      <c r="N1077" s="14">
        <v>9</v>
      </c>
      <c r="O1077" s="16"/>
      <c r="P1077" s="6">
        <v>42818.633599537032</v>
      </c>
      <c r="Q1077" s="12" t="s">
        <v>137</v>
      </c>
      <c r="R1077" s="17" t="s">
        <v>761</v>
      </c>
      <c r="S1077" s="11"/>
      <c r="T1077" s="11"/>
      <c r="U1077" s="10" t="str">
        <f>HYPERLINK("https://pbs.twimg.com/profile_images/937615481602789376/OBa7YPsM.jpg","View")</f>
        <v>View</v>
      </c>
    </row>
    <row r="1078" spans="1:21" ht="40.799999999999997">
      <c r="A1078" s="6">
        <v>43440.042615740742</v>
      </c>
      <c r="B1078" s="7" t="str">
        <f>HYPERLINK("https://twitter.com/RadioMinuto93","@RadioMinuto93")</f>
        <v>@RadioMinuto93</v>
      </c>
      <c r="C1078" s="8" t="s">
        <v>3781</v>
      </c>
      <c r="D1078" s="9" t="s">
        <v>3782</v>
      </c>
      <c r="E1078" s="10" t="str">
        <f>HYPERLINK("https://twitter.com/RadioMinuto93/status/1070468201287421952","1070468201287421952")</f>
        <v>1070468201287421952</v>
      </c>
      <c r="F1078" s="13" t="s">
        <v>3784</v>
      </c>
      <c r="G1078" s="11"/>
      <c r="H1078" s="11"/>
      <c r="I1078" s="14">
        <v>0</v>
      </c>
      <c r="J1078" s="14">
        <v>0</v>
      </c>
      <c r="K1078" s="15" t="str">
        <f t="shared" si="223"/>
        <v>Twitter for Android</v>
      </c>
      <c r="L1078" s="14">
        <v>1446</v>
      </c>
      <c r="M1078" s="14">
        <v>1038</v>
      </c>
      <c r="N1078" s="14">
        <v>21</v>
      </c>
      <c r="O1078" s="16"/>
      <c r="P1078" s="6">
        <v>42032.482314814813</v>
      </c>
      <c r="Q1078" s="11"/>
      <c r="R1078" s="17" t="s">
        <v>3785</v>
      </c>
      <c r="S1078" s="11"/>
      <c r="T1078" s="11"/>
      <c r="U1078" s="10" t="str">
        <f>HYPERLINK("https://pbs.twimg.com/profile_images/560396495656992768/_rpEbLvj.jpeg","View")</f>
        <v>View</v>
      </c>
    </row>
    <row r="1079" spans="1:21" ht="51">
      <c r="A1079" s="6">
        <v>43440.042361111111</v>
      </c>
      <c r="B1079" s="7" t="str">
        <f>HYPERLINK("https://twitter.com/bitMomentum","@bitMomentum")</f>
        <v>@bitMomentum</v>
      </c>
      <c r="C1079" s="8" t="s">
        <v>1889</v>
      </c>
      <c r="D1079" s="9" t="s">
        <v>3789</v>
      </c>
      <c r="E1079" s="10" t="str">
        <f>HYPERLINK("https://twitter.com/bitMomentum/status/1070468109000163328","1070468109000163328")</f>
        <v>1070468109000163328</v>
      </c>
      <c r="F1079" s="11"/>
      <c r="G1079" s="11"/>
      <c r="H1079" s="11"/>
      <c r="I1079" s="14">
        <v>0</v>
      </c>
      <c r="J1079" s="14">
        <v>0</v>
      </c>
      <c r="K1079" s="15" t="str">
        <f>HYPERLINK("http://www.bitmomentum.com","bitMomentum Bot")</f>
        <v>bitMomentum Bot</v>
      </c>
      <c r="L1079" s="14">
        <v>10254</v>
      </c>
      <c r="M1079" s="14">
        <v>1059</v>
      </c>
      <c r="N1079" s="14">
        <v>263</v>
      </c>
      <c r="O1079" s="16"/>
      <c r="P1079" s="6">
        <v>41608.667511574073</v>
      </c>
      <c r="Q1079" s="11"/>
      <c r="R1079" s="17" t="s">
        <v>1897</v>
      </c>
      <c r="S1079" s="13" t="s">
        <v>1898</v>
      </c>
      <c r="T1079" s="11"/>
      <c r="U1079" s="10" t="str">
        <f>HYPERLINK("https://pbs.twimg.com/profile_images/378800000862185241/20ij2H3u.png","View")</f>
        <v>View</v>
      </c>
    </row>
    <row r="1080" spans="1:21" ht="71.400000000000006">
      <c r="A1080" s="6">
        <v>43440.041550925926</v>
      </c>
      <c r="B1080" s="7" t="str">
        <f>HYPERLINK("https://twitter.com/VivasMattera10","@VivasMattera10")</f>
        <v>@VivasMattera10</v>
      </c>
      <c r="C1080" s="8" t="s">
        <v>2840</v>
      </c>
      <c r="D1080" s="9" t="s">
        <v>3790</v>
      </c>
      <c r="E1080" s="10" t="str">
        <f>HYPERLINK("https://twitter.com/VivasMattera10/status/1070467814811684864","1070467814811684864")</f>
        <v>1070467814811684864</v>
      </c>
      <c r="F1080" s="13" t="s">
        <v>3793</v>
      </c>
      <c r="G1080" s="13" t="s">
        <v>3794</v>
      </c>
      <c r="H1080" s="11"/>
      <c r="I1080" s="14">
        <v>0</v>
      </c>
      <c r="J1080" s="14">
        <v>0</v>
      </c>
      <c r="K1080" s="15" t="str">
        <f>HYPERLINK("http://twitter.com/download/iphone","Twitter for iPhone")</f>
        <v>Twitter for iPhone</v>
      </c>
      <c r="L1080" s="14">
        <v>5230</v>
      </c>
      <c r="M1080" s="14">
        <v>4088</v>
      </c>
      <c r="N1080" s="14">
        <v>61</v>
      </c>
      <c r="O1080" s="16"/>
      <c r="P1080" s="6">
        <v>40219.834513888891</v>
      </c>
      <c r="Q1080" s="11"/>
      <c r="R1080" s="17" t="s">
        <v>2848</v>
      </c>
      <c r="S1080" s="11"/>
      <c r="T1080" s="11"/>
      <c r="U1080" s="10" t="str">
        <f>HYPERLINK("https://pbs.twimg.com/profile_images/1013488496055668736/zX_qOkYj.jpg","View")</f>
        <v>View</v>
      </c>
    </row>
    <row r="1081" spans="1:21" ht="51">
      <c r="A1081" s="6">
        <v>43440.040231481486</v>
      </c>
      <c r="B1081" s="7" t="str">
        <f>HYPERLINK("https://twitter.com/Prometheusterra","@Prometheusterra")</f>
        <v>@Prometheusterra</v>
      </c>
      <c r="C1081" s="8" t="s">
        <v>4468</v>
      </c>
      <c r="D1081" s="9" t="s">
        <v>4469</v>
      </c>
      <c r="E1081" s="10" t="str">
        <f>HYPERLINK("https://twitter.com/Prometheusterra/status/1070467338317807622","1070467338317807622")</f>
        <v>1070467338317807622</v>
      </c>
      <c r="F1081" s="11"/>
      <c r="G1081" s="11"/>
      <c r="H1081" s="11"/>
      <c r="I1081" s="14">
        <v>0</v>
      </c>
      <c r="J1081" s="14">
        <v>0</v>
      </c>
      <c r="K1081" s="15" t="str">
        <f>HYPERLINK("http://twitter.com","Twitter Web Client")</f>
        <v>Twitter Web Client</v>
      </c>
      <c r="L1081" s="14">
        <v>381</v>
      </c>
      <c r="M1081" s="14">
        <v>314</v>
      </c>
      <c r="N1081" s="14">
        <v>7</v>
      </c>
      <c r="O1081" s="16"/>
      <c r="P1081" s="6">
        <v>40961.063645833332</v>
      </c>
      <c r="Q1081" s="12" t="s">
        <v>29</v>
      </c>
      <c r="R1081" s="17" t="s">
        <v>4470</v>
      </c>
      <c r="S1081" s="11"/>
      <c r="T1081" s="11"/>
      <c r="U1081" s="10" t="str">
        <f>HYPERLINK("https://pbs.twimg.com/profile_images/1007032956718854145/oWyU6Rk8.jpg","View")</f>
        <v>View</v>
      </c>
    </row>
    <row r="1082" spans="1:21" ht="40.799999999999997">
      <c r="A1082" s="6">
        <v>43440.039629629631</v>
      </c>
      <c r="B1082" s="7" t="str">
        <f>HYPERLINK("https://twitter.com/jafombuena","@jafombuena")</f>
        <v>@jafombuena</v>
      </c>
      <c r="C1082" s="8" t="s">
        <v>2264</v>
      </c>
      <c r="D1082" s="9" t="s">
        <v>4472</v>
      </c>
      <c r="E1082" s="10" t="str">
        <f>HYPERLINK("https://twitter.com/jafombuena/status/1070467120956239873","1070467120956239873")</f>
        <v>1070467120956239873</v>
      </c>
      <c r="F1082" s="13" t="s">
        <v>4473</v>
      </c>
      <c r="G1082" s="13" t="s">
        <v>4474</v>
      </c>
      <c r="H1082" s="11"/>
      <c r="I1082" s="14">
        <v>0</v>
      </c>
      <c r="J1082" s="14">
        <v>0</v>
      </c>
      <c r="K1082" s="15" t="str">
        <f>HYPERLINK("https://dlvrit.com/","dlvr.it")</f>
        <v>dlvr.it</v>
      </c>
      <c r="L1082" s="14">
        <v>2772</v>
      </c>
      <c r="M1082" s="14">
        <v>2998</v>
      </c>
      <c r="N1082" s="14">
        <v>40</v>
      </c>
      <c r="O1082" s="16"/>
      <c r="P1082" s="6">
        <v>41660.54755787037</v>
      </c>
      <c r="Q1082" s="12" t="s">
        <v>2268</v>
      </c>
      <c r="R1082" s="17" t="s">
        <v>2269</v>
      </c>
      <c r="S1082" s="11"/>
      <c r="T1082" s="11"/>
      <c r="U1082" s="10" t="str">
        <f>HYPERLINK("https://pbs.twimg.com/profile_images/1070714953131327488/aVtWH8fh.jpg","View")</f>
        <v>View</v>
      </c>
    </row>
    <row r="1083" spans="1:21" ht="40.799999999999997">
      <c r="A1083" s="6">
        <v>43440.038923611108</v>
      </c>
      <c r="B1083" s="7" t="str">
        <f>HYPERLINK("https://twitter.com/TaniaCrespo3","@TaniaCrespo3")</f>
        <v>@TaniaCrespo3</v>
      </c>
      <c r="C1083" s="8" t="s">
        <v>2505</v>
      </c>
      <c r="D1083" s="9" t="s">
        <v>3798</v>
      </c>
      <c r="E1083" s="10" t="str">
        <f>HYPERLINK("https://twitter.com/TaniaCrespo3/status/1070466865879752704","1070466865879752704")</f>
        <v>1070466865879752704</v>
      </c>
      <c r="F1083" s="13" t="s">
        <v>3799</v>
      </c>
      <c r="G1083" s="11"/>
      <c r="H1083" s="11"/>
      <c r="I1083" s="14">
        <v>3</v>
      </c>
      <c r="J1083" s="14">
        <v>1</v>
      </c>
      <c r="K1083" s="15" t="str">
        <f>HYPERLINK("http://twitter.com/download/android","Twitter for Android")</f>
        <v>Twitter for Android</v>
      </c>
      <c r="L1083" s="14">
        <v>922</v>
      </c>
      <c r="M1083" s="14">
        <v>1765</v>
      </c>
      <c r="N1083" s="14">
        <v>0</v>
      </c>
      <c r="O1083" s="16"/>
      <c r="P1083" s="6">
        <v>43257.829548611116</v>
      </c>
      <c r="Q1083" s="12" t="s">
        <v>2507</v>
      </c>
      <c r="R1083" s="17" t="s">
        <v>2508</v>
      </c>
      <c r="S1083" s="11"/>
      <c r="T1083" s="11"/>
      <c r="U1083" s="10" t="str">
        <f>HYPERLINK("https://pbs.twimg.com/profile_images/1004426598471340033/zL90kJim.jpg","View")</f>
        <v>View</v>
      </c>
    </row>
    <row r="1084" spans="1:21" ht="40.799999999999997">
      <c r="A1084" s="6">
        <v>43440.038807870369</v>
      </c>
      <c r="B1084" s="7" t="str">
        <f>HYPERLINK("https://twitter.com/VeoInfo_","@VeoInfo_")</f>
        <v>@VeoInfo_</v>
      </c>
      <c r="C1084" s="8" t="s">
        <v>4477</v>
      </c>
      <c r="D1084" s="9" t="s">
        <v>4478</v>
      </c>
      <c r="E1084" s="10" t="str">
        <f>HYPERLINK("https://twitter.com/VeoInfo_/status/1070466824284835840","1070466824284835840")</f>
        <v>1070466824284835840</v>
      </c>
      <c r="F1084" s="12" t="s">
        <v>4479</v>
      </c>
      <c r="G1084" s="11"/>
      <c r="H1084" s="11"/>
      <c r="I1084" s="14">
        <v>0</v>
      </c>
      <c r="J1084" s="14">
        <v>0</v>
      </c>
      <c r="K1084" s="15" t="str">
        <f>HYPERLINK("http://publicize.wp.com/","WordPress.com")</f>
        <v>WordPress.com</v>
      </c>
      <c r="L1084" s="14">
        <v>1135</v>
      </c>
      <c r="M1084" s="14">
        <v>1139</v>
      </c>
      <c r="N1084" s="14">
        <v>37</v>
      </c>
      <c r="O1084" s="16"/>
      <c r="P1084" s="6">
        <v>41881.101840277777</v>
      </c>
      <c r="Q1084" s="12" t="s">
        <v>4481</v>
      </c>
      <c r="R1084" s="17" t="s">
        <v>4482</v>
      </c>
      <c r="S1084" s="13" t="s">
        <v>4483</v>
      </c>
      <c r="T1084" s="11"/>
      <c r="U1084" s="10" t="str">
        <f>HYPERLINK("https://pbs.twimg.com/profile_images/601509372305485827/Val0dfGy.png","View")</f>
        <v>View</v>
      </c>
    </row>
    <row r="1085" spans="1:21" ht="40.799999999999997">
      <c r="A1085" s="6">
        <v>43440.035451388889</v>
      </c>
      <c r="B1085" s="7" t="str">
        <f>HYPERLINK("https://twitter.com/MarquezJesus_Cs","@MarquezJesus_Cs")</f>
        <v>@MarquezJesus_Cs</v>
      </c>
      <c r="C1085" s="8" t="s">
        <v>3803</v>
      </c>
      <c r="D1085" s="9" t="s">
        <v>3805</v>
      </c>
      <c r="E1085" s="10" t="str">
        <f>HYPERLINK("https://twitter.com/MarquezJesus_Cs/status/1070465605264961540","1070465605264961540")</f>
        <v>1070465605264961540</v>
      </c>
      <c r="F1085" s="13" t="s">
        <v>3807</v>
      </c>
      <c r="G1085" s="11"/>
      <c r="H1085" s="11"/>
      <c r="I1085" s="14">
        <v>1</v>
      </c>
      <c r="J1085" s="14">
        <v>1</v>
      </c>
      <c r="K1085" s="15" t="str">
        <f>HYPERLINK("http://twitter.com/download/iphone","Twitter for iPhone")</f>
        <v>Twitter for iPhone</v>
      </c>
      <c r="L1085" s="14">
        <v>175</v>
      </c>
      <c r="M1085" s="14">
        <v>193</v>
      </c>
      <c r="N1085" s="14">
        <v>0</v>
      </c>
      <c r="O1085" s="16"/>
      <c r="P1085" s="6">
        <v>42119.664884259255</v>
      </c>
      <c r="Q1085" s="12" t="s">
        <v>3810</v>
      </c>
      <c r="R1085" s="17" t="s">
        <v>3811</v>
      </c>
      <c r="S1085" s="11"/>
      <c r="T1085" s="11"/>
      <c r="U1085" s="10" t="str">
        <f>HYPERLINK("https://pbs.twimg.com/profile_images/921821563971874816/P1RX6yiQ.jpg","View")</f>
        <v>View</v>
      </c>
    </row>
    <row r="1086" spans="1:21" ht="30.6">
      <c r="A1086" s="6">
        <v>43440.029930555553</v>
      </c>
      <c r="B1086" s="7" t="str">
        <f>HYPERLINK("https://twitter.com/AngelaLS14","@AngelaLS14")</f>
        <v>@AngelaLS14</v>
      </c>
      <c r="C1086" s="8" t="s">
        <v>3812</v>
      </c>
      <c r="D1086" s="9" t="s">
        <v>3813</v>
      </c>
      <c r="E1086" s="10" t="str">
        <f>HYPERLINK("https://twitter.com/AngelaLS14/status/1070463604464541696","1070463604464541696")</f>
        <v>1070463604464541696</v>
      </c>
      <c r="F1086" s="11"/>
      <c r="G1086" s="13" t="s">
        <v>3814</v>
      </c>
      <c r="H1086" s="11"/>
      <c r="I1086" s="14">
        <v>5</v>
      </c>
      <c r="J1086" s="14">
        <v>7</v>
      </c>
      <c r="K1086" s="15" t="str">
        <f>HYPERLINK("http://twitter.com/download/android","Twitter for Android")</f>
        <v>Twitter for Android</v>
      </c>
      <c r="L1086" s="14">
        <v>120</v>
      </c>
      <c r="M1086" s="14">
        <v>128</v>
      </c>
      <c r="N1086" s="14">
        <v>0</v>
      </c>
      <c r="O1086" s="16"/>
      <c r="P1086" s="6">
        <v>43091.714548611111</v>
      </c>
      <c r="Q1086" s="12" t="s">
        <v>3815</v>
      </c>
      <c r="R1086" s="17" t="s">
        <v>3816</v>
      </c>
      <c r="S1086" s="11"/>
      <c r="T1086" s="11"/>
      <c r="U1086" s="10" t="str">
        <f>HYPERLINK("https://pbs.twimg.com/profile_images/1064217042319040512/V-U3aXI3.jpg","View")</f>
        <v>View</v>
      </c>
    </row>
    <row r="1087" spans="1:21" ht="40.799999999999997">
      <c r="A1087" s="6">
        <v>43440.025046296301</v>
      </c>
      <c r="B1087" s="7" t="str">
        <f>HYPERLINK("https://twitter.com/AbaloneOrtega","@AbaloneOrtega")</f>
        <v>@AbaloneOrtega</v>
      </c>
      <c r="C1087" s="8" t="s">
        <v>4486</v>
      </c>
      <c r="D1087" s="9" t="s">
        <v>4487</v>
      </c>
      <c r="E1087" s="10" t="str">
        <f>HYPERLINK("https://twitter.com/AbaloneOrtega/status/1070461836531769344","1070461836531769344")</f>
        <v>1070461836531769344</v>
      </c>
      <c r="F1087" s="11"/>
      <c r="G1087" s="11"/>
      <c r="H1087" s="11"/>
      <c r="I1087" s="14">
        <v>0</v>
      </c>
      <c r="J1087" s="14">
        <v>0</v>
      </c>
      <c r="K1087" s="15" t="str">
        <f>HYPERLINK("http://twitter.com","Twitter Web Client")</f>
        <v>Twitter Web Client</v>
      </c>
      <c r="L1087" s="14">
        <v>4744</v>
      </c>
      <c r="M1087" s="14">
        <v>3713</v>
      </c>
      <c r="N1087" s="14">
        <v>52</v>
      </c>
      <c r="O1087" s="16"/>
      <c r="P1087" s="6">
        <v>41249.886354166665</v>
      </c>
      <c r="Q1087" s="11"/>
      <c r="R1087" s="17" t="s">
        <v>4488</v>
      </c>
      <c r="S1087" s="11"/>
      <c r="T1087" s="11"/>
      <c r="U1087" s="10" t="str">
        <f>HYPERLINK("https://pbs.twimg.com/profile_images/759803574951915524/50ydJhOx.jpg","View")</f>
        <v>View</v>
      </c>
    </row>
    <row r="1088" spans="1:21" ht="30.6">
      <c r="A1088" s="6">
        <v>43440.020104166666</v>
      </c>
      <c r="B1088" s="7" t="str">
        <f>HYPERLINK("https://twitter.com/DAVIDRGSONSECA","@DAVIDRGSONSECA")</f>
        <v>@DAVIDRGSONSECA</v>
      </c>
      <c r="C1088" s="8" t="s">
        <v>4489</v>
      </c>
      <c r="D1088" s="9" t="s">
        <v>4445</v>
      </c>
      <c r="E1088" s="10" t="str">
        <f>HYPERLINK("https://twitter.com/DAVIDRGSONSECA/status/1070460044397985792","1070460044397985792")</f>
        <v>1070460044397985792</v>
      </c>
      <c r="F1088" s="13" t="s">
        <v>4490</v>
      </c>
      <c r="G1088" s="11"/>
      <c r="H1088" s="11"/>
      <c r="I1088" s="14">
        <v>0</v>
      </c>
      <c r="J1088" s="14">
        <v>0</v>
      </c>
      <c r="K1088" s="15" t="str">
        <f>HYPERLINK("http://www.facebook.com/twitter","Facebook")</f>
        <v>Facebook</v>
      </c>
      <c r="L1088" s="14">
        <v>157</v>
      </c>
      <c r="M1088" s="14">
        <v>164</v>
      </c>
      <c r="N1088" s="14">
        <v>5</v>
      </c>
      <c r="O1088" s="16"/>
      <c r="P1088" s="6">
        <v>40567.737812499996</v>
      </c>
      <c r="Q1088" s="12" t="s">
        <v>1398</v>
      </c>
      <c r="R1088" s="17" t="s">
        <v>4492</v>
      </c>
      <c r="S1088" s="13" t="s">
        <v>4493</v>
      </c>
      <c r="T1088" s="11"/>
      <c r="U1088" s="10" t="str">
        <f>HYPERLINK("https://pbs.twimg.com/profile_images/993014641570799616/2u25Q_Xk.jpg","View")</f>
        <v>View</v>
      </c>
    </row>
    <row r="1089" spans="1:21" ht="40.799999999999997">
      <c r="A1089" s="6">
        <v>43440.01966435185</v>
      </c>
      <c r="B1089" s="7" t="str">
        <f t="shared" ref="B1089:B1092" si="224">HYPERLINK("https://twitter.com/NoticiasVenezue","@NoticiasVenezue")</f>
        <v>@NoticiasVenezue</v>
      </c>
      <c r="C1089" s="8" t="s">
        <v>4494</v>
      </c>
      <c r="D1089" s="9" t="s">
        <v>4495</v>
      </c>
      <c r="E1089" s="10" t="str">
        <f>HYPERLINK("https://twitter.com/NoticiasVenezue/status/1070459885240897536","1070459885240897536")</f>
        <v>1070459885240897536</v>
      </c>
      <c r="F1089" s="13" t="s">
        <v>4496</v>
      </c>
      <c r="G1089" s="13" t="s">
        <v>4497</v>
      </c>
      <c r="H1089" s="11"/>
      <c r="I1089" s="14">
        <v>0</v>
      </c>
      <c r="J1089" s="14">
        <v>0</v>
      </c>
      <c r="K1089" s="15" t="str">
        <f t="shared" ref="K1089:K1092" si="225">HYPERLINK("http://noticiasvenezuela.org/","Noticiasvenezuela.org")</f>
        <v>Noticiasvenezuela.org</v>
      </c>
      <c r="L1089" s="14">
        <v>849965</v>
      </c>
      <c r="M1089" s="14">
        <v>107845</v>
      </c>
      <c r="N1089" s="14">
        <v>4005</v>
      </c>
      <c r="O1089" s="19" t="s">
        <v>42</v>
      </c>
      <c r="P1089" s="6">
        <v>39960.368576388893</v>
      </c>
      <c r="Q1089" s="12" t="s">
        <v>4498</v>
      </c>
      <c r="R1089" s="17" t="s">
        <v>4499</v>
      </c>
      <c r="S1089" s="13" t="s">
        <v>4500</v>
      </c>
      <c r="T1089" s="11"/>
      <c r="U1089" s="10" t="str">
        <f t="shared" ref="U1089:U1092" si="226">HYPERLINK("https://pbs.twimg.com/profile_images/1051102549061849088/xDOWgbtI.jpg","View")</f>
        <v>View</v>
      </c>
    </row>
    <row r="1090" spans="1:21" ht="40.799999999999997">
      <c r="A1090" s="6">
        <v>43440.019143518519</v>
      </c>
      <c r="B1090" s="7" t="str">
        <f t="shared" si="224"/>
        <v>@NoticiasVenezue</v>
      </c>
      <c r="C1090" s="8" t="s">
        <v>4494</v>
      </c>
      <c r="D1090" s="9" t="s">
        <v>4495</v>
      </c>
      <c r="E1090" s="10" t="str">
        <f>HYPERLINK("https://twitter.com/NoticiasVenezue/status/1070459695096348672","1070459695096348672")</f>
        <v>1070459695096348672</v>
      </c>
      <c r="F1090" s="13" t="s">
        <v>4496</v>
      </c>
      <c r="G1090" s="13" t="s">
        <v>4502</v>
      </c>
      <c r="H1090" s="11"/>
      <c r="I1090" s="14">
        <v>0</v>
      </c>
      <c r="J1090" s="14">
        <v>1</v>
      </c>
      <c r="K1090" s="15" t="str">
        <f t="shared" si="225"/>
        <v>Noticiasvenezuela.org</v>
      </c>
      <c r="L1090" s="14">
        <v>849965</v>
      </c>
      <c r="M1090" s="14">
        <v>107845</v>
      </c>
      <c r="N1090" s="14">
        <v>4005</v>
      </c>
      <c r="O1090" s="19" t="s">
        <v>42</v>
      </c>
      <c r="P1090" s="6">
        <v>39960.368576388893</v>
      </c>
      <c r="Q1090" s="12" t="s">
        <v>4498</v>
      </c>
      <c r="R1090" s="17" t="s">
        <v>4499</v>
      </c>
      <c r="S1090" s="13" t="s">
        <v>4500</v>
      </c>
      <c r="T1090" s="11"/>
      <c r="U1090" s="10" t="str">
        <f t="shared" si="226"/>
        <v>View</v>
      </c>
    </row>
    <row r="1091" spans="1:21" ht="40.799999999999997">
      <c r="A1091" s="6">
        <v>43440.018518518518</v>
      </c>
      <c r="B1091" s="7" t="str">
        <f t="shared" si="224"/>
        <v>@NoticiasVenezue</v>
      </c>
      <c r="C1091" s="8" t="s">
        <v>4494</v>
      </c>
      <c r="D1091" s="9" t="s">
        <v>4495</v>
      </c>
      <c r="E1091" s="10" t="str">
        <f>HYPERLINK("https://twitter.com/NoticiasVenezue/status/1070459470571077632","1070459470571077632")</f>
        <v>1070459470571077632</v>
      </c>
      <c r="F1091" s="13" t="s">
        <v>4496</v>
      </c>
      <c r="G1091" s="13" t="s">
        <v>4506</v>
      </c>
      <c r="H1091" s="11"/>
      <c r="I1091" s="14">
        <v>0</v>
      </c>
      <c r="J1091" s="14">
        <v>0</v>
      </c>
      <c r="K1091" s="15" t="str">
        <f t="shared" si="225"/>
        <v>Noticiasvenezuela.org</v>
      </c>
      <c r="L1091" s="14">
        <v>849965</v>
      </c>
      <c r="M1091" s="14">
        <v>107845</v>
      </c>
      <c r="N1091" s="14">
        <v>4005</v>
      </c>
      <c r="O1091" s="19" t="s">
        <v>42</v>
      </c>
      <c r="P1091" s="6">
        <v>39960.368576388893</v>
      </c>
      <c r="Q1091" s="12" t="s">
        <v>4498</v>
      </c>
      <c r="R1091" s="17" t="s">
        <v>4499</v>
      </c>
      <c r="S1091" s="13" t="s">
        <v>4500</v>
      </c>
      <c r="T1091" s="11"/>
      <c r="U1091" s="10" t="str">
        <f t="shared" si="226"/>
        <v>View</v>
      </c>
    </row>
    <row r="1092" spans="1:21" ht="40.799999999999997">
      <c r="A1092" s="6">
        <v>43440.018148148149</v>
      </c>
      <c r="B1092" s="7" t="str">
        <f t="shared" si="224"/>
        <v>@NoticiasVenezue</v>
      </c>
      <c r="C1092" s="8" t="s">
        <v>4494</v>
      </c>
      <c r="D1092" s="9" t="s">
        <v>4495</v>
      </c>
      <c r="E1092" s="10" t="str">
        <f>HYPERLINK("https://twitter.com/NoticiasVenezue/status/1070459334616850432","1070459334616850432")</f>
        <v>1070459334616850432</v>
      </c>
      <c r="F1092" s="13" t="s">
        <v>4496</v>
      </c>
      <c r="G1092" s="13" t="s">
        <v>4508</v>
      </c>
      <c r="H1092" s="11"/>
      <c r="I1092" s="14">
        <v>3</v>
      </c>
      <c r="J1092" s="14">
        <v>1</v>
      </c>
      <c r="K1092" s="15" t="str">
        <f t="shared" si="225"/>
        <v>Noticiasvenezuela.org</v>
      </c>
      <c r="L1092" s="14">
        <v>849965</v>
      </c>
      <c r="M1092" s="14">
        <v>107845</v>
      </c>
      <c r="N1092" s="14">
        <v>4005</v>
      </c>
      <c r="O1092" s="19" t="s">
        <v>42</v>
      </c>
      <c r="P1092" s="6">
        <v>39960.368576388893</v>
      </c>
      <c r="Q1092" s="12" t="s">
        <v>4498</v>
      </c>
      <c r="R1092" s="17" t="s">
        <v>4499</v>
      </c>
      <c r="S1092" s="13" t="s">
        <v>4500</v>
      </c>
      <c r="T1092" s="11"/>
      <c r="U1092" s="10" t="str">
        <f t="shared" si="226"/>
        <v>View</v>
      </c>
    </row>
    <row r="1093" spans="1:21" ht="20.399999999999999">
      <c r="A1093" s="6">
        <v>43440.017060185186</v>
      </c>
      <c r="B1093" s="7" t="str">
        <f>HYPERLINK("https://twitter.com/Ramona81501103","@Ramona81501103")</f>
        <v>@Ramona81501103</v>
      </c>
      <c r="C1093" s="8" t="s">
        <v>4509</v>
      </c>
      <c r="D1093" s="9" t="s">
        <v>4510</v>
      </c>
      <c r="E1093" s="10" t="str">
        <f>HYPERLINK("https://twitter.com/Ramona81501103/status/1070458941723807744","1070458941723807744")</f>
        <v>1070458941723807744</v>
      </c>
      <c r="F1093" s="13" t="s">
        <v>4511</v>
      </c>
      <c r="G1093" s="11"/>
      <c r="H1093" s="11"/>
      <c r="I1093" s="14">
        <v>0</v>
      </c>
      <c r="J1093" s="14">
        <v>0</v>
      </c>
      <c r="K1093" s="15" t="str">
        <f t="shared" ref="K1093:K1094" si="227">HYPERLINK("http://twitter.com/download/android","Twitter for Android")</f>
        <v>Twitter for Android</v>
      </c>
      <c r="L1093" s="14">
        <v>1623</v>
      </c>
      <c r="M1093" s="14">
        <v>1819</v>
      </c>
      <c r="N1093" s="14">
        <v>0</v>
      </c>
      <c r="O1093" s="16"/>
      <c r="P1093" s="6">
        <v>42911.865115740744</v>
      </c>
      <c r="Q1093" s="12" t="s">
        <v>4512</v>
      </c>
      <c r="R1093" s="17" t="s">
        <v>4513</v>
      </c>
      <c r="S1093" s="11"/>
      <c r="T1093" s="11"/>
      <c r="U1093" s="10" t="str">
        <f>HYPERLINK("https://pbs.twimg.com/profile_images/926070023927496705/1iSMpRYq.jpg","View")</f>
        <v>View</v>
      </c>
    </row>
    <row r="1094" spans="1:21" ht="30.6">
      <c r="A1094" s="6">
        <v>43440.015289351853</v>
      </c>
      <c r="B1094" s="7" t="str">
        <f>HYPERLINK("https://twitter.com/EnriqueBoto","@EnriqueBoto")</f>
        <v>@EnriqueBoto</v>
      </c>
      <c r="C1094" s="8" t="s">
        <v>3819</v>
      </c>
      <c r="D1094" s="9" t="s">
        <v>3820</v>
      </c>
      <c r="E1094" s="10" t="str">
        <f>HYPERLINK("https://twitter.com/EnriqueBoto/status/1070458298925809666","1070458298925809666")</f>
        <v>1070458298925809666</v>
      </c>
      <c r="F1094" s="11"/>
      <c r="G1094" s="11"/>
      <c r="H1094" s="11"/>
      <c r="I1094" s="14">
        <v>0</v>
      </c>
      <c r="J1094" s="14">
        <v>1</v>
      </c>
      <c r="K1094" s="15" t="str">
        <f t="shared" si="227"/>
        <v>Twitter for Android</v>
      </c>
      <c r="L1094" s="14">
        <v>1420</v>
      </c>
      <c r="M1094" s="14">
        <v>962</v>
      </c>
      <c r="N1094" s="14">
        <v>14</v>
      </c>
      <c r="O1094" s="16"/>
      <c r="P1094" s="6">
        <v>41575.47896990741</v>
      </c>
      <c r="Q1094" s="12" t="s">
        <v>3823</v>
      </c>
      <c r="R1094" s="17" t="s">
        <v>3824</v>
      </c>
      <c r="S1094" s="11"/>
      <c r="T1094" s="11"/>
      <c r="U1094" s="10" t="str">
        <f>HYPERLINK("https://pbs.twimg.com/profile_images/432673214150356992/k4dht69u.png","View")</f>
        <v>View</v>
      </c>
    </row>
    <row r="1095" spans="1:21" ht="51">
      <c r="A1095" s="6">
        <v>43440.013506944444</v>
      </c>
      <c r="B1095" s="7" t="str">
        <f>HYPERLINK("https://twitter.com/enriquerguerrer","@enriquerguerrer")</f>
        <v>@enriquerguerrer</v>
      </c>
      <c r="C1095" s="8" t="s">
        <v>4515</v>
      </c>
      <c r="D1095" s="9" t="s">
        <v>4516</v>
      </c>
      <c r="E1095" s="10" t="str">
        <f>HYPERLINK("https://twitter.com/enriquerguerrer/status/1070457655544680448","1070457655544680448")</f>
        <v>1070457655544680448</v>
      </c>
      <c r="F1095" s="13" t="s">
        <v>4270</v>
      </c>
      <c r="G1095" s="11"/>
      <c r="H1095" s="11"/>
      <c r="I1095" s="14">
        <v>0</v>
      </c>
      <c r="J1095" s="14">
        <v>0</v>
      </c>
      <c r="K1095" s="15" t="str">
        <f>HYPERLINK("http://twitter.com","Twitter Web Client")</f>
        <v>Twitter Web Client</v>
      </c>
      <c r="L1095" s="14">
        <v>1333</v>
      </c>
      <c r="M1095" s="14">
        <v>2651</v>
      </c>
      <c r="N1095" s="14">
        <v>18</v>
      </c>
      <c r="O1095" s="16"/>
      <c r="P1095" s="6">
        <v>41037.618483796294</v>
      </c>
      <c r="Q1095" s="12" t="s">
        <v>4518</v>
      </c>
      <c r="R1095" s="17" t="s">
        <v>4519</v>
      </c>
      <c r="S1095" s="11"/>
      <c r="T1095" s="11"/>
      <c r="U1095" s="10" t="str">
        <f>HYPERLINK("https://pbs.twimg.com/profile_images/935304719781769216/xcYen8UE.jpg","View")</f>
        <v>View</v>
      </c>
    </row>
    <row r="1096" spans="1:21" ht="30.6">
      <c r="A1096" s="6">
        <v>43440.011840277773</v>
      </c>
      <c r="B1096" s="7" t="str">
        <f>HYPERLINK("https://twitter.com/Dlvegaa","@Dlvegaa")</f>
        <v>@Dlvegaa</v>
      </c>
      <c r="C1096" s="8" t="s">
        <v>3829</v>
      </c>
      <c r="D1096" s="9" t="s">
        <v>3830</v>
      </c>
      <c r="E1096" s="10" t="str">
        <f>HYPERLINK("https://twitter.com/Dlvegaa/status/1070457048930938880","1070457048930938880")</f>
        <v>1070457048930938880</v>
      </c>
      <c r="F1096" s="11"/>
      <c r="G1096" s="11"/>
      <c r="H1096" s="11"/>
      <c r="I1096" s="14">
        <v>0</v>
      </c>
      <c r="J1096" s="14">
        <v>2</v>
      </c>
      <c r="K1096" s="15" t="str">
        <f>HYPERLINK("https://mobile.twitter.com","Twitter Lite")</f>
        <v>Twitter Lite</v>
      </c>
      <c r="L1096" s="14">
        <v>21</v>
      </c>
      <c r="M1096" s="14">
        <v>28</v>
      </c>
      <c r="N1096" s="14">
        <v>0</v>
      </c>
      <c r="O1096" s="16"/>
      <c r="P1096" s="6">
        <v>43098.551851851851</v>
      </c>
      <c r="Q1096" s="12" t="s">
        <v>3831</v>
      </c>
      <c r="R1096" s="17" t="s">
        <v>3832</v>
      </c>
      <c r="S1096" s="11"/>
      <c r="T1096" s="11"/>
      <c r="U1096" s="10" t="str">
        <f>HYPERLINK("https://pbs.twimg.com/profile_images/1060285092634001408/XBxA8Kxd.jpg","View")</f>
        <v>View</v>
      </c>
    </row>
    <row r="1097" spans="1:21" ht="81.599999999999994">
      <c r="A1097" s="6">
        <v>43440.007048611107</v>
      </c>
      <c r="B1097" s="7" t="str">
        <f>HYPERLINK("https://twitter.com/Paquita_R","@Paquita_R")</f>
        <v>@Paquita_R</v>
      </c>
      <c r="C1097" s="8" t="s">
        <v>576</v>
      </c>
      <c r="D1097" s="9" t="s">
        <v>3834</v>
      </c>
      <c r="E1097" s="10" t="str">
        <f>HYPERLINK("https://twitter.com/Paquita_R/status/1070455314229616640","1070455314229616640")</f>
        <v>1070455314229616640</v>
      </c>
      <c r="F1097" s="12" t="s">
        <v>3838</v>
      </c>
      <c r="G1097" s="11"/>
      <c r="H1097" s="11"/>
      <c r="I1097" s="14">
        <v>0</v>
      </c>
      <c r="J1097" s="14">
        <v>0</v>
      </c>
      <c r="K1097" s="15" t="str">
        <f>HYPERLINK("http://twitter.com","Twitter Web Client")</f>
        <v>Twitter Web Client</v>
      </c>
      <c r="L1097" s="14">
        <v>83</v>
      </c>
      <c r="M1097" s="14">
        <v>369</v>
      </c>
      <c r="N1097" s="14">
        <v>1</v>
      </c>
      <c r="O1097" s="16"/>
      <c r="P1097" s="6">
        <v>40174.983449074076</v>
      </c>
      <c r="Q1097" s="12" t="s">
        <v>29</v>
      </c>
      <c r="R1097" s="18"/>
      <c r="S1097" s="11"/>
      <c r="T1097" s="11"/>
      <c r="U1097" s="10" t="str">
        <f>HYPERLINK("https://pbs.twimg.com/profile_images/1067916239484436480/NAudR-HG.jpg","View")</f>
        <v>View</v>
      </c>
    </row>
    <row r="1098" spans="1:21" ht="40.799999999999997">
      <c r="A1098" s="6">
        <v>43440.006249999999</v>
      </c>
      <c r="B1098" s="7" t="str">
        <f>HYPERLINK("https://twitter.com/Francis83365556","@Francis83365556")</f>
        <v>@Francis83365556</v>
      </c>
      <c r="C1098" s="8" t="s">
        <v>2808</v>
      </c>
      <c r="D1098" s="9" t="s">
        <v>3841</v>
      </c>
      <c r="E1098" s="10" t="str">
        <f>HYPERLINK("https://twitter.com/Francis83365556/status/1070455025980370944","1070455025980370944")</f>
        <v>1070455025980370944</v>
      </c>
      <c r="F1098" s="11"/>
      <c r="G1098" s="13" t="s">
        <v>3842</v>
      </c>
      <c r="H1098" s="11"/>
      <c r="I1098" s="14">
        <v>1</v>
      </c>
      <c r="J1098" s="14">
        <v>7</v>
      </c>
      <c r="K1098" s="15" t="str">
        <f>HYPERLINK("http://twitter.com/download/android","Twitter for Android")</f>
        <v>Twitter for Android</v>
      </c>
      <c r="L1098" s="14">
        <v>988</v>
      </c>
      <c r="M1098" s="14">
        <v>1081</v>
      </c>
      <c r="N1098" s="14">
        <v>1</v>
      </c>
      <c r="O1098" s="16"/>
      <c r="P1098" s="6">
        <v>43050.648993055554</v>
      </c>
      <c r="Q1098" s="11"/>
      <c r="R1098" s="17" t="s">
        <v>2811</v>
      </c>
      <c r="S1098" s="11"/>
      <c r="T1098" s="11"/>
      <c r="U1098" s="10" t="str">
        <f>HYPERLINK("https://pbs.twimg.com/profile_images/930529491692253186/f8387QRG.jpg","View")</f>
        <v>View</v>
      </c>
    </row>
    <row r="1099" spans="1:21" ht="102">
      <c r="A1099" s="6">
        <v>43440.006111111114</v>
      </c>
      <c r="B1099" s="7" t="str">
        <f>HYPERLINK("https://twitter.com/XavierMarin3","@XavierMarin3")</f>
        <v>@XavierMarin3</v>
      </c>
      <c r="C1099" s="8" t="s">
        <v>3845</v>
      </c>
      <c r="D1099" s="9" t="s">
        <v>3846</v>
      </c>
      <c r="E1099" s="10" t="str">
        <f>HYPERLINK("https://twitter.com/XavierMarin3/status/1070454975107686400","1070454975107686400")</f>
        <v>1070454975107686400</v>
      </c>
      <c r="F1099" s="13" t="s">
        <v>3847</v>
      </c>
      <c r="G1099" s="13" t="s">
        <v>2057</v>
      </c>
      <c r="H1099" s="11"/>
      <c r="I1099" s="14">
        <v>0</v>
      </c>
      <c r="J1099" s="14">
        <v>0</v>
      </c>
      <c r="K1099" s="15" t="str">
        <f>HYPERLINK("http://twitter.com/download/iphone","Twitter for iPhone")</f>
        <v>Twitter for iPhone</v>
      </c>
      <c r="L1099" s="14">
        <v>171</v>
      </c>
      <c r="M1099" s="14">
        <v>344</v>
      </c>
      <c r="N1099" s="14">
        <v>1</v>
      </c>
      <c r="O1099" s="16"/>
      <c r="P1099" s="6">
        <v>40848.850902777776</v>
      </c>
      <c r="Q1099" s="12" t="s">
        <v>83</v>
      </c>
      <c r="R1099" s="17" t="s">
        <v>3848</v>
      </c>
      <c r="S1099" s="11"/>
      <c r="T1099" s="11"/>
      <c r="U1099" s="10" t="str">
        <f>HYPERLINK("https://pbs.twimg.com/profile_images/926746598830411776/ZsW_m0Dm.jpg","View")</f>
        <v>View</v>
      </c>
    </row>
    <row r="1100" spans="1:21" ht="40.799999999999997">
      <c r="A1100" s="6">
        <v>43440.001608796301</v>
      </c>
      <c r="B1100" s="7" t="str">
        <f>HYPERLINK("https://twitter.com/MendanaRolle","@MendanaRolle")</f>
        <v>@MendanaRolle</v>
      </c>
      <c r="C1100" s="8" t="s">
        <v>3849</v>
      </c>
      <c r="D1100" s="9" t="s">
        <v>3850</v>
      </c>
      <c r="E1100" s="10" t="str">
        <f>HYPERLINK("https://twitter.com/MendanaRolle/status/1070453340163723265","1070453340163723265")</f>
        <v>1070453340163723265</v>
      </c>
      <c r="F1100" s="13" t="s">
        <v>3254</v>
      </c>
      <c r="G1100" s="13" t="s">
        <v>3255</v>
      </c>
      <c r="H1100" s="11"/>
      <c r="I1100" s="14">
        <v>0</v>
      </c>
      <c r="J1100" s="14">
        <v>1</v>
      </c>
      <c r="K1100" s="15" t="str">
        <f>HYPERLINK("http://twitter.com/download/android","Twitter for Android")</f>
        <v>Twitter for Android</v>
      </c>
      <c r="L1100" s="14">
        <v>667</v>
      </c>
      <c r="M1100" s="14">
        <v>2562</v>
      </c>
      <c r="N1100" s="14">
        <v>9</v>
      </c>
      <c r="O1100" s="16"/>
      <c r="P1100" s="6">
        <v>42189.553263888884</v>
      </c>
      <c r="Q1100" s="12" t="s">
        <v>3851</v>
      </c>
      <c r="R1100" s="17" t="s">
        <v>3852</v>
      </c>
      <c r="S1100" s="13" t="s">
        <v>3853</v>
      </c>
      <c r="T1100" s="11"/>
      <c r="U1100" s="10" t="str">
        <f>HYPERLINK("https://pbs.twimg.com/profile_images/884924122970673152/4F0wtdeA.jpg","View")</f>
        <v>View</v>
      </c>
    </row>
    <row r="1101" spans="1:21" ht="51">
      <c r="A1101" s="6">
        <v>43440.001388888893</v>
      </c>
      <c r="B1101" s="7" t="str">
        <f t="shared" ref="B1101:B1103" si="228">HYPERLINK("https://twitter.com/bitMomentum","@bitMomentum")</f>
        <v>@bitMomentum</v>
      </c>
      <c r="C1101" s="8" t="s">
        <v>1889</v>
      </c>
      <c r="D1101" s="9" t="s">
        <v>3861</v>
      </c>
      <c r="E1101" s="10" t="str">
        <f>HYPERLINK("https://twitter.com/bitMomentum/status/1070453261331767298","1070453261331767298")</f>
        <v>1070453261331767298</v>
      </c>
      <c r="F1101" s="11"/>
      <c r="G1101" s="11"/>
      <c r="H1101" s="11"/>
      <c r="I1101" s="14">
        <v>0</v>
      </c>
      <c r="J1101" s="14">
        <v>0</v>
      </c>
      <c r="K1101" s="15" t="str">
        <f t="shared" ref="K1101:K1103" si="229">HYPERLINK("http://www.bitmomentum.com","bitMomentum Bot")</f>
        <v>bitMomentum Bot</v>
      </c>
      <c r="L1101" s="14">
        <v>10254</v>
      </c>
      <c r="M1101" s="14">
        <v>1059</v>
      </c>
      <c r="N1101" s="14">
        <v>263</v>
      </c>
      <c r="O1101" s="16"/>
      <c r="P1101" s="6">
        <v>41608.667511574073</v>
      </c>
      <c r="Q1101" s="11"/>
      <c r="R1101" s="17" t="s">
        <v>1897</v>
      </c>
      <c r="S1101" s="13" t="s">
        <v>1898</v>
      </c>
      <c r="T1101" s="11"/>
      <c r="U1101" s="10" t="str">
        <f t="shared" ref="U1101:U1103" si="230">HYPERLINK("https://pbs.twimg.com/profile_images/378800000862185241/20ij2H3u.png","View")</f>
        <v>View</v>
      </c>
    </row>
    <row r="1102" spans="1:21" ht="51">
      <c r="A1102" s="6">
        <v>43440.001388888893</v>
      </c>
      <c r="B1102" s="7" t="str">
        <f t="shared" si="228"/>
        <v>@bitMomentum</v>
      </c>
      <c r="C1102" s="8" t="s">
        <v>1889</v>
      </c>
      <c r="D1102" s="9" t="s">
        <v>3866</v>
      </c>
      <c r="E1102" s="10" t="str">
        <f>HYPERLINK("https://twitter.com/bitMomentum/status/1070453261277249536","1070453261277249536")</f>
        <v>1070453261277249536</v>
      </c>
      <c r="F1102" s="11"/>
      <c r="G1102" s="11"/>
      <c r="H1102" s="11"/>
      <c r="I1102" s="14">
        <v>0</v>
      </c>
      <c r="J1102" s="14">
        <v>0</v>
      </c>
      <c r="K1102" s="15" t="str">
        <f t="shared" si="229"/>
        <v>bitMomentum Bot</v>
      </c>
      <c r="L1102" s="14">
        <v>10254</v>
      </c>
      <c r="M1102" s="14">
        <v>1059</v>
      </c>
      <c r="N1102" s="14">
        <v>263</v>
      </c>
      <c r="O1102" s="16"/>
      <c r="P1102" s="6">
        <v>41608.667511574073</v>
      </c>
      <c r="Q1102" s="11"/>
      <c r="R1102" s="17" t="s">
        <v>1897</v>
      </c>
      <c r="S1102" s="13" t="s">
        <v>1898</v>
      </c>
      <c r="T1102" s="11"/>
      <c r="U1102" s="10" t="str">
        <f t="shared" si="230"/>
        <v>View</v>
      </c>
    </row>
    <row r="1103" spans="1:21" ht="51">
      <c r="A1103" s="6">
        <v>43440.000694444447</v>
      </c>
      <c r="B1103" s="7" t="str">
        <f t="shared" si="228"/>
        <v>@bitMomentum</v>
      </c>
      <c r="C1103" s="8" t="s">
        <v>1889</v>
      </c>
      <c r="D1103" s="9" t="s">
        <v>3871</v>
      </c>
      <c r="E1103" s="10" t="str">
        <f>HYPERLINK("https://twitter.com/bitMomentum/status/1070453009526808577","1070453009526808577")</f>
        <v>1070453009526808577</v>
      </c>
      <c r="F1103" s="11"/>
      <c r="G1103" s="11"/>
      <c r="H1103" s="11"/>
      <c r="I1103" s="14">
        <v>0</v>
      </c>
      <c r="J1103" s="14">
        <v>0</v>
      </c>
      <c r="K1103" s="15" t="str">
        <f t="shared" si="229"/>
        <v>bitMomentum Bot</v>
      </c>
      <c r="L1103" s="14">
        <v>10254</v>
      </c>
      <c r="M1103" s="14">
        <v>1059</v>
      </c>
      <c r="N1103" s="14">
        <v>263</v>
      </c>
      <c r="O1103" s="16"/>
      <c r="P1103" s="6">
        <v>41608.667511574073</v>
      </c>
      <c r="Q1103" s="11"/>
      <c r="R1103" s="17" t="s">
        <v>1897</v>
      </c>
      <c r="S1103" s="13" t="s">
        <v>1898</v>
      </c>
      <c r="T1103" s="11"/>
      <c r="U1103" s="10" t="str">
        <f t="shared" si="230"/>
        <v>View</v>
      </c>
    </row>
    <row r="1104" spans="1:21" ht="51">
      <c r="A1104" s="6">
        <v>43440.00063657407</v>
      </c>
      <c r="B1104" s="7" t="str">
        <f>HYPERLINK("https://twitter.com/Chusbrave","@Chusbrave")</f>
        <v>@Chusbrave</v>
      </c>
      <c r="C1104" s="8" t="s">
        <v>3878</v>
      </c>
      <c r="D1104" s="9" t="s">
        <v>3879</v>
      </c>
      <c r="E1104" s="10" t="str">
        <f>HYPERLINK("https://twitter.com/Chusbrave/status/1070452991491235841","1070452991491235841")</f>
        <v>1070452991491235841</v>
      </c>
      <c r="F1104" s="12" t="s">
        <v>1244</v>
      </c>
      <c r="G1104" s="11"/>
      <c r="H1104" s="11"/>
      <c r="I1104" s="14">
        <v>0</v>
      </c>
      <c r="J1104" s="14">
        <v>0</v>
      </c>
      <c r="K1104" s="15" t="str">
        <f>HYPERLINK("http://twitter.com/download/iphone","Twitter for iPhone")</f>
        <v>Twitter for iPhone</v>
      </c>
      <c r="L1104" s="14">
        <v>325</v>
      </c>
      <c r="M1104" s="14">
        <v>355</v>
      </c>
      <c r="N1104" s="14">
        <v>7</v>
      </c>
      <c r="O1104" s="16"/>
      <c r="P1104" s="6">
        <v>40855.030833333338</v>
      </c>
      <c r="Q1104" s="12" t="s">
        <v>29</v>
      </c>
      <c r="R1104" s="17" t="s">
        <v>3880</v>
      </c>
      <c r="S1104" s="11"/>
      <c r="T1104" s="11"/>
      <c r="U1104" s="10" t="str">
        <f>HYPERLINK("https://pbs.twimg.com/profile_images/1649077231/twitter.JPG","View")</f>
        <v>View</v>
      </c>
    </row>
    <row r="1105" spans="1:21" ht="40.799999999999997">
      <c r="A1105" s="6">
        <v>43439.998761574076</v>
      </c>
      <c r="B1105" s="7" t="str">
        <f>HYPERLINK("https://twitter.com/kemstaskontando","@kemstaskontando")</f>
        <v>@kemstaskontando</v>
      </c>
      <c r="C1105" s="8" t="s">
        <v>3881</v>
      </c>
      <c r="D1105" s="9" t="s">
        <v>3882</v>
      </c>
      <c r="E1105" s="10" t="str">
        <f>HYPERLINK("https://twitter.com/kemstaskontando/status/1070452309438676992","1070452309438676992")</f>
        <v>1070452309438676992</v>
      </c>
      <c r="F1105" s="11"/>
      <c r="G1105" s="13" t="s">
        <v>3883</v>
      </c>
      <c r="H1105" s="11"/>
      <c r="I1105" s="14">
        <v>2</v>
      </c>
      <c r="J1105" s="14">
        <v>1</v>
      </c>
      <c r="K1105" s="15" t="str">
        <f>HYPERLINK("http://twitter.com/download/android","Twitter for Android")</f>
        <v>Twitter for Android</v>
      </c>
      <c r="L1105" s="14">
        <v>4335</v>
      </c>
      <c r="M1105" s="14">
        <v>4408</v>
      </c>
      <c r="N1105" s="14">
        <v>5</v>
      </c>
      <c r="O1105" s="16"/>
      <c r="P1105" s="6">
        <v>40947.859363425923</v>
      </c>
      <c r="Q1105" s="12" t="s">
        <v>3884</v>
      </c>
      <c r="R1105" s="17" t="s">
        <v>3885</v>
      </c>
      <c r="S1105" s="11"/>
      <c r="T1105" s="11"/>
      <c r="U1105" s="10" t="str">
        <f>HYPERLINK("https://pbs.twimg.com/profile_images/977240599731560448/S2hNfGIh.jpg","View")</f>
        <v>View</v>
      </c>
    </row>
    <row r="1106" spans="1:21" ht="40.799999999999997">
      <c r="A1106" s="6">
        <v>43439.998611111107</v>
      </c>
      <c r="B1106" s="7" t="str">
        <f>HYPERLINK("https://twitter.com/elnacionalcat_e","@elnacionalcat_e")</f>
        <v>@elnacionalcat_e</v>
      </c>
      <c r="C1106" s="8" t="s">
        <v>4541</v>
      </c>
      <c r="D1106" s="9" t="s">
        <v>4542</v>
      </c>
      <c r="E1106" s="10" t="str">
        <f>HYPERLINK("https://twitter.com/elnacionalcat_e/status/1070452255772631040","1070452255772631040")</f>
        <v>1070452255772631040</v>
      </c>
      <c r="F1106" s="13" t="s">
        <v>4543</v>
      </c>
      <c r="G1106" s="11"/>
      <c r="H1106" s="11"/>
      <c r="I1106" s="14">
        <v>10</v>
      </c>
      <c r="J1106" s="14">
        <v>2</v>
      </c>
      <c r="K1106" s="15" t="str">
        <f t="shared" ref="K1106:K1107" si="231">HYPERLINK("https://about.twitter.com/products/tweetdeck","TweetDeck")</f>
        <v>TweetDeck</v>
      </c>
      <c r="L1106" s="14">
        <v>5553</v>
      </c>
      <c r="M1106" s="14">
        <v>355</v>
      </c>
      <c r="N1106" s="14">
        <v>169</v>
      </c>
      <c r="O1106" s="16"/>
      <c r="P1106" s="6">
        <v>42247.840567129635</v>
      </c>
      <c r="Q1106" s="12" t="s">
        <v>3665</v>
      </c>
      <c r="R1106" s="17" t="s">
        <v>4545</v>
      </c>
      <c r="S1106" s="13" t="s">
        <v>4546</v>
      </c>
      <c r="T1106" s="11"/>
      <c r="U1106" s="10" t="str">
        <f>HYPERLINK("https://pbs.twimg.com/profile_images/646298514385960960/VEutSP7L.png","View")</f>
        <v>View</v>
      </c>
    </row>
    <row r="1107" spans="1:21" ht="30.6">
      <c r="A1107" s="6">
        <v>43439.998611111107</v>
      </c>
      <c r="B1107" s="7" t="str">
        <f>HYPERLINK("https://twitter.com/En_Blau_es","@En_Blau_es")</f>
        <v>@En_Blau_es</v>
      </c>
      <c r="C1107" s="8" t="s">
        <v>4549</v>
      </c>
      <c r="D1107" s="9" t="s">
        <v>4550</v>
      </c>
      <c r="E1107" s="10" t="str">
        <f>HYPERLINK("https://twitter.com/En_Blau_es/status/1070452254971330560","1070452254971330560")</f>
        <v>1070452254971330560</v>
      </c>
      <c r="F1107" s="13" t="s">
        <v>4543</v>
      </c>
      <c r="G1107" s="11"/>
      <c r="H1107" s="11"/>
      <c r="I1107" s="14">
        <v>1</v>
      </c>
      <c r="J1107" s="14">
        <v>0</v>
      </c>
      <c r="K1107" s="15" t="str">
        <f t="shared" si="231"/>
        <v>TweetDeck</v>
      </c>
      <c r="L1107" s="14">
        <v>389</v>
      </c>
      <c r="M1107" s="14">
        <v>98</v>
      </c>
      <c r="N1107" s="14">
        <v>4</v>
      </c>
      <c r="O1107" s="16"/>
      <c r="P1107" s="6">
        <v>42824.566701388889</v>
      </c>
      <c r="Q1107" s="11"/>
      <c r="R1107" s="18"/>
      <c r="S1107" s="13" t="s">
        <v>4551</v>
      </c>
      <c r="T1107" s="11"/>
      <c r="U1107" s="10" t="str">
        <f>HYPERLINK("https://pbs.twimg.com/profile_images/849621382346534912/rD-7feps.jpg","View")</f>
        <v>View</v>
      </c>
    </row>
    <row r="1108" spans="1:21" ht="30.6">
      <c r="A1108" s="6">
        <v>43439.997881944444</v>
      </c>
      <c r="B1108" s="7" t="str">
        <f>HYPERLINK("https://twitter.com/maikeus","@maikeus")</f>
        <v>@maikeus</v>
      </c>
      <c r="C1108" s="8" t="s">
        <v>3886</v>
      </c>
      <c r="D1108" s="9" t="s">
        <v>3887</v>
      </c>
      <c r="E1108" s="10" t="str">
        <f>HYPERLINK("https://twitter.com/maikeus/status/1070451989765652482","1070451989765652482")</f>
        <v>1070451989765652482</v>
      </c>
      <c r="F1108" s="11"/>
      <c r="G1108" s="11"/>
      <c r="H1108" s="11"/>
      <c r="I1108" s="14">
        <v>1</v>
      </c>
      <c r="J1108" s="14">
        <v>6</v>
      </c>
      <c r="K1108" s="15" t="str">
        <f>HYPERLINK("http://twitter.com/download/android","Twitter for Android")</f>
        <v>Twitter for Android</v>
      </c>
      <c r="L1108" s="14">
        <v>5839</v>
      </c>
      <c r="M1108" s="14">
        <v>757</v>
      </c>
      <c r="N1108" s="14">
        <v>22</v>
      </c>
      <c r="O1108" s="16"/>
      <c r="P1108" s="6">
        <v>42624.719247685185</v>
      </c>
      <c r="Q1108" s="12" t="s">
        <v>3890</v>
      </c>
      <c r="R1108" s="17" t="s">
        <v>3891</v>
      </c>
      <c r="S1108" s="13" t="s">
        <v>3892</v>
      </c>
      <c r="T1108" s="11"/>
      <c r="U1108" s="10" t="str">
        <f>HYPERLINK("https://pbs.twimg.com/profile_images/1068948794321051648/Ct0v35K2.jpg","View")</f>
        <v>View</v>
      </c>
    </row>
    <row r="1109" spans="1:21" ht="13.2">
      <c r="A1109" s="6">
        <v>43439.997430555552</v>
      </c>
      <c r="B1109" s="7" t="str">
        <f>HYPERLINK("https://twitter.com/PinkieSnowWhite","@PinkieSnowWhite")</f>
        <v>@PinkieSnowWhite</v>
      </c>
      <c r="C1109" s="8" t="s">
        <v>4554</v>
      </c>
      <c r="D1109" s="9" t="s">
        <v>4555</v>
      </c>
      <c r="E1109" s="10" t="str">
        <f>HYPERLINK("https://twitter.com/PinkieSnowWhite/status/1070451829354438658","1070451829354438658")</f>
        <v>1070451829354438658</v>
      </c>
      <c r="F1109" s="11"/>
      <c r="G1109" s="11"/>
      <c r="H1109" s="11"/>
      <c r="I1109" s="14">
        <v>0</v>
      </c>
      <c r="J1109" s="14">
        <v>0</v>
      </c>
      <c r="K1109" s="15" t="str">
        <f>HYPERLINK("http://twitter.com/download/iphone","Twitter for iPhone")</f>
        <v>Twitter for iPhone</v>
      </c>
      <c r="L1109" s="14">
        <v>740</v>
      </c>
      <c r="M1109" s="14">
        <v>863</v>
      </c>
      <c r="N1109" s="14">
        <v>7</v>
      </c>
      <c r="O1109" s="16"/>
      <c r="P1109" s="6">
        <v>41227.801898148144</v>
      </c>
      <c r="Q1109" s="12" t="s">
        <v>4556</v>
      </c>
      <c r="R1109" s="17" t="s">
        <v>4557</v>
      </c>
      <c r="S1109" s="13" t="s">
        <v>4558</v>
      </c>
      <c r="T1109" s="11"/>
      <c r="U1109" s="10" t="str">
        <f>HYPERLINK("https://pbs.twimg.com/profile_images/770925642871349248/uwKSdRAk.jpg","View")</f>
        <v>View</v>
      </c>
    </row>
    <row r="1110" spans="1:21" ht="51">
      <c r="A1110" s="6">
        <v>43439.994826388887</v>
      </c>
      <c r="B1110" s="7" t="str">
        <f>HYPERLINK("https://twitter.com/CervantesFAQs","@CervantesFAQs")</f>
        <v>@CervantesFAQs</v>
      </c>
      <c r="C1110" s="8" t="s">
        <v>4562</v>
      </c>
      <c r="D1110" s="9" t="s">
        <v>4563</v>
      </c>
      <c r="E1110" s="10" t="str">
        <f>HYPERLINK("https://twitter.com/CervantesFAQs/status/1070450884839174145","1070450884839174145")</f>
        <v>1070450884839174145</v>
      </c>
      <c r="F1110" s="11"/>
      <c r="G1110" s="11"/>
      <c r="H1110" s="11"/>
      <c r="I1110" s="14">
        <v>172</v>
      </c>
      <c r="J1110" s="14">
        <v>365</v>
      </c>
      <c r="K1110" s="15" t="str">
        <f t="shared" ref="K1110:K1111" si="232">HYPERLINK("http://twitter.com/download/android","Twitter for Android")</f>
        <v>Twitter for Android</v>
      </c>
      <c r="L1110" s="14">
        <v>41918</v>
      </c>
      <c r="M1110" s="14">
        <v>999</v>
      </c>
      <c r="N1110" s="14">
        <v>345</v>
      </c>
      <c r="O1110" s="16"/>
      <c r="P1110" s="6">
        <v>40904.665162037039</v>
      </c>
      <c r="Q1110" s="11"/>
      <c r="R1110" s="17" t="s">
        <v>4564</v>
      </c>
      <c r="S1110" s="13" t="s">
        <v>4565</v>
      </c>
      <c r="T1110" s="11"/>
      <c r="U1110" s="10" t="str">
        <f>HYPERLINK("https://pbs.twimg.com/profile_images/1040899168477372417/HKN0kl5-.jpg","View")</f>
        <v>View</v>
      </c>
    </row>
    <row r="1111" spans="1:21" ht="30.6">
      <c r="A1111" s="6">
        <v>43439.99381944444</v>
      </c>
      <c r="B1111" s="7" t="str">
        <f>HYPERLINK("https://twitter.com/ANavarroJimenez","@ANavarroJimenez")</f>
        <v>@ANavarroJimenez</v>
      </c>
      <c r="C1111" s="8" t="s">
        <v>3893</v>
      </c>
      <c r="D1111" s="9" t="s">
        <v>3894</v>
      </c>
      <c r="E1111" s="10" t="str">
        <f>HYPERLINK("https://twitter.com/ANavarroJimenez/status/1070450518802214912","1070450518802214912")</f>
        <v>1070450518802214912</v>
      </c>
      <c r="F1111" s="11"/>
      <c r="G1111" s="11"/>
      <c r="H1111" s="11"/>
      <c r="I1111" s="14">
        <v>0</v>
      </c>
      <c r="J1111" s="14">
        <v>0</v>
      </c>
      <c r="K1111" s="15" t="str">
        <f t="shared" si="232"/>
        <v>Twitter for Android</v>
      </c>
      <c r="L1111" s="14">
        <v>341</v>
      </c>
      <c r="M1111" s="14">
        <v>888</v>
      </c>
      <c r="N1111" s="14">
        <v>6</v>
      </c>
      <c r="O1111" s="16"/>
      <c r="P1111" s="6">
        <v>40728.955752314811</v>
      </c>
      <c r="Q1111" s="12" t="s">
        <v>3895</v>
      </c>
      <c r="R1111" s="17" t="s">
        <v>3896</v>
      </c>
      <c r="S1111" s="11"/>
      <c r="T1111" s="11"/>
      <c r="U1111" s="10" t="str">
        <f>HYPERLINK("https://pbs.twimg.com/profile_images/2387563700/image.jpg","View")</f>
        <v>View</v>
      </c>
    </row>
    <row r="1112" spans="1:21" ht="51">
      <c r="A1112" s="6">
        <v>43439.99282407407</v>
      </c>
      <c r="B1112" s="7" t="str">
        <f>HYPERLINK("https://twitter.com/RadioPuntoGT","@RadioPuntoGT")</f>
        <v>@RadioPuntoGT</v>
      </c>
      <c r="C1112" s="8" t="s">
        <v>4570</v>
      </c>
      <c r="D1112" s="9" t="s">
        <v>4571</v>
      </c>
      <c r="E1112" s="10" t="str">
        <f>HYPERLINK("https://twitter.com/RadioPuntoGT/status/1070450160491249671","1070450160491249671")</f>
        <v>1070450160491249671</v>
      </c>
      <c r="F1112" s="11"/>
      <c r="G1112" s="13" t="s">
        <v>4572</v>
      </c>
      <c r="H1112" s="11"/>
      <c r="I1112" s="14">
        <v>0</v>
      </c>
      <c r="J1112" s="14">
        <v>1</v>
      </c>
      <c r="K1112" s="15" t="str">
        <f>HYPERLINK("http://twitter.com","Twitter Web Client")</f>
        <v>Twitter Web Client</v>
      </c>
      <c r="L1112" s="14">
        <v>99587</v>
      </c>
      <c r="M1112" s="14">
        <v>0</v>
      </c>
      <c r="N1112" s="14">
        <v>454</v>
      </c>
      <c r="O1112" s="16"/>
      <c r="P1112" s="6">
        <v>40679.847719907411</v>
      </c>
      <c r="Q1112" s="12" t="s">
        <v>4574</v>
      </c>
      <c r="R1112" s="17" t="s">
        <v>4575</v>
      </c>
      <c r="S1112" s="13" t="s">
        <v>4576</v>
      </c>
      <c r="T1112" s="11"/>
      <c r="U1112" s="10" t="str">
        <f>HYPERLINK("https://pbs.twimg.com/profile_images/1039530112763523072/i6abxZJw.jpg","View")</f>
        <v>View</v>
      </c>
    </row>
    <row r="1113" spans="1:21" ht="51">
      <c r="A1113" s="6">
        <v>43439.992673611108</v>
      </c>
      <c r="B1113" s="7" t="str">
        <f>HYPERLINK("https://twitter.com/najmanovic13","@najmanovic13")</f>
        <v>@najmanovic13</v>
      </c>
      <c r="C1113" s="8" t="s">
        <v>3897</v>
      </c>
      <c r="D1113" s="9" t="s">
        <v>3898</v>
      </c>
      <c r="E1113" s="10" t="str">
        <f>HYPERLINK("https://twitter.com/najmanovic13/status/1070450104346312704","1070450104346312704")</f>
        <v>1070450104346312704</v>
      </c>
      <c r="F1113" s="11"/>
      <c r="G1113" s="11"/>
      <c r="H1113" s="11"/>
      <c r="I1113" s="14">
        <v>0</v>
      </c>
      <c r="J1113" s="14">
        <v>0</v>
      </c>
      <c r="K1113" s="15" t="str">
        <f t="shared" ref="K1113:K1115" si="233">HYPERLINK("http://twitter.com/download/iphone","Twitter for iPhone")</f>
        <v>Twitter for iPhone</v>
      </c>
      <c r="L1113" s="14">
        <v>69</v>
      </c>
      <c r="M1113" s="14">
        <v>345</v>
      </c>
      <c r="N1113" s="14">
        <v>0</v>
      </c>
      <c r="O1113" s="16"/>
      <c r="P1113" s="6">
        <v>43258.452638888892</v>
      </c>
      <c r="Q1113" s="12" t="s">
        <v>3899</v>
      </c>
      <c r="R1113" s="17" t="s">
        <v>3900</v>
      </c>
      <c r="S1113" s="11"/>
      <c r="T1113" s="11"/>
      <c r="U1113" s="10" t="str">
        <f>HYPERLINK("https://pbs.twimg.com/profile_images/1033733292275769344/cXn0JQ_w.jpg","View")</f>
        <v>View</v>
      </c>
    </row>
    <row r="1114" spans="1:21" ht="102">
      <c r="A1114" s="6">
        <v>43439.992210648154</v>
      </c>
      <c r="B1114" s="7" t="str">
        <f>HYPERLINK("https://twitter.com/Colomboyen","@Colomboyen")</f>
        <v>@Colomboyen</v>
      </c>
      <c r="C1114" s="8" t="s">
        <v>3906</v>
      </c>
      <c r="D1114" s="9" t="s">
        <v>3907</v>
      </c>
      <c r="E1114" s="10" t="str">
        <f>HYPERLINK("https://twitter.com/Colomboyen/status/1070449934388879361","1070449934388879361")</f>
        <v>1070449934388879361</v>
      </c>
      <c r="F1114" s="13" t="s">
        <v>3908</v>
      </c>
      <c r="G1114" s="13" t="s">
        <v>3911</v>
      </c>
      <c r="H1114" s="11"/>
      <c r="I1114" s="14">
        <v>0</v>
      </c>
      <c r="J1114" s="14">
        <v>0</v>
      </c>
      <c r="K1114" s="15" t="str">
        <f t="shared" si="233"/>
        <v>Twitter for iPhone</v>
      </c>
      <c r="L1114" s="14">
        <v>1008</v>
      </c>
      <c r="M1114" s="14">
        <v>970</v>
      </c>
      <c r="N1114" s="14">
        <v>9</v>
      </c>
      <c r="O1114" s="16"/>
      <c r="P1114" s="6">
        <v>42415.895532407405</v>
      </c>
      <c r="Q1114" s="12" t="s">
        <v>29</v>
      </c>
      <c r="R1114" s="17" t="s">
        <v>3913</v>
      </c>
      <c r="S1114" s="11"/>
      <c r="T1114" s="11"/>
      <c r="U1114" s="10" t="str">
        <f>HYPERLINK("https://pbs.twimg.com/profile_images/795399609141121024/jqgJ325D.jpg","View")</f>
        <v>View</v>
      </c>
    </row>
    <row r="1115" spans="1:21" ht="13.2">
      <c r="A1115" s="6">
        <v>43439.990856481483</v>
      </c>
      <c r="B1115" s="7" t="str">
        <f>HYPERLINK("https://twitter.com/Patridance4","@Patridance4")</f>
        <v>@Patridance4</v>
      </c>
      <c r="C1115" s="8" t="s">
        <v>4582</v>
      </c>
      <c r="D1115" s="9" t="s">
        <v>1896</v>
      </c>
      <c r="E1115" s="10" t="str">
        <f>HYPERLINK("https://twitter.com/Patridance4/status/1070449444850622464","1070449444850622464")</f>
        <v>1070449444850622464</v>
      </c>
      <c r="F1115" s="13" t="s">
        <v>1899</v>
      </c>
      <c r="G1115" s="11"/>
      <c r="H1115" s="11"/>
      <c r="I1115" s="14">
        <v>0</v>
      </c>
      <c r="J1115" s="14">
        <v>0</v>
      </c>
      <c r="K1115" s="15" t="str">
        <f t="shared" si="233"/>
        <v>Twitter for iPhone</v>
      </c>
      <c r="L1115" s="14">
        <v>318</v>
      </c>
      <c r="M1115" s="14">
        <v>444</v>
      </c>
      <c r="N1115" s="14">
        <v>5</v>
      </c>
      <c r="O1115" s="16"/>
      <c r="P1115" s="6">
        <v>41157.721365740741</v>
      </c>
      <c r="Q1115" s="12" t="s">
        <v>4584</v>
      </c>
      <c r="R1115" s="17" t="s">
        <v>4585</v>
      </c>
      <c r="S1115" s="11"/>
      <c r="T1115" s="11"/>
      <c r="U1115" s="10" t="str">
        <f>HYPERLINK("https://pbs.twimg.com/profile_images/827188660097413120/IgWNZW7F.jpg","View")</f>
        <v>View</v>
      </c>
    </row>
    <row r="1116" spans="1:21" ht="40.799999999999997">
      <c r="A1116" s="6">
        <v>43439.988206018519</v>
      </c>
      <c r="B1116" s="7" t="str">
        <f>HYPERLINK("https://twitter.com/cope_murcia","@cope_murcia")</f>
        <v>@cope_murcia</v>
      </c>
      <c r="C1116" s="8" t="s">
        <v>4588</v>
      </c>
      <c r="D1116" s="9" t="s">
        <v>4589</v>
      </c>
      <c r="E1116" s="10" t="str">
        <f>HYPERLINK("https://twitter.com/cope_murcia/status/1070448486309601291","1070448486309601291")</f>
        <v>1070448486309601291</v>
      </c>
      <c r="F1116" s="13" t="s">
        <v>4590</v>
      </c>
      <c r="G1116" s="11"/>
      <c r="H1116" s="11"/>
      <c r="I1116" s="14">
        <v>0</v>
      </c>
      <c r="J1116" s="14">
        <v>0</v>
      </c>
      <c r="K1116" s="15" t="str">
        <f>HYPERLINK("http://twitter.com","Twitter Web Client")</f>
        <v>Twitter Web Client</v>
      </c>
      <c r="L1116" s="14">
        <v>6495</v>
      </c>
      <c r="M1116" s="14">
        <v>1925</v>
      </c>
      <c r="N1116" s="14">
        <v>113</v>
      </c>
      <c r="O1116" s="16"/>
      <c r="P1116" s="6">
        <v>41114.559039351851</v>
      </c>
      <c r="Q1116" s="12" t="s">
        <v>1803</v>
      </c>
      <c r="R1116" s="17" t="s">
        <v>4591</v>
      </c>
      <c r="S1116" s="13" t="s">
        <v>4592</v>
      </c>
      <c r="T1116" s="11"/>
      <c r="U1116" s="10" t="str">
        <f>HYPERLINK("https://pbs.twimg.com/profile_images/743173489679564800/_CXMeIhU.jpg","View")</f>
        <v>View</v>
      </c>
    </row>
    <row r="1117" spans="1:21" ht="91.8">
      <c r="A1117" s="6">
        <v>43439.987268518518</v>
      </c>
      <c r="B1117" s="7" t="str">
        <f>HYPERLINK("https://twitter.com/TaniaCrespo3","@TaniaCrespo3")</f>
        <v>@TaniaCrespo3</v>
      </c>
      <c r="C1117" s="8" t="s">
        <v>2505</v>
      </c>
      <c r="D1117" s="9" t="s">
        <v>3916</v>
      </c>
      <c r="E1117" s="10" t="str">
        <f>HYPERLINK("https://twitter.com/TaniaCrespo3/status/1070448145887305730","1070448145887305730")</f>
        <v>1070448145887305730</v>
      </c>
      <c r="F1117" s="13" t="s">
        <v>3918</v>
      </c>
      <c r="G1117" s="13" t="s">
        <v>3919</v>
      </c>
      <c r="H1117" s="11"/>
      <c r="I1117" s="14">
        <v>9</v>
      </c>
      <c r="J1117" s="14">
        <v>10</v>
      </c>
      <c r="K1117" s="15" t="str">
        <f t="shared" ref="K1117:K1118" si="234">HYPERLINK("http://twitter.com/download/android","Twitter for Android")</f>
        <v>Twitter for Android</v>
      </c>
      <c r="L1117" s="14">
        <v>922</v>
      </c>
      <c r="M1117" s="14">
        <v>1765</v>
      </c>
      <c r="N1117" s="14">
        <v>0</v>
      </c>
      <c r="O1117" s="16"/>
      <c r="P1117" s="6">
        <v>43257.829548611116</v>
      </c>
      <c r="Q1117" s="12" t="s">
        <v>2507</v>
      </c>
      <c r="R1117" s="17" t="s">
        <v>2508</v>
      </c>
      <c r="S1117" s="11"/>
      <c r="T1117" s="11"/>
      <c r="U1117" s="10" t="str">
        <f>HYPERLINK("https://pbs.twimg.com/profile_images/1004426598471340033/zL90kJim.jpg","View")</f>
        <v>View</v>
      </c>
    </row>
    <row r="1118" spans="1:21" ht="20.399999999999999">
      <c r="A1118" s="6">
        <v>43439.985995370371</v>
      </c>
      <c r="B1118" s="7" t="str">
        <f>HYPERLINK("https://twitter.com/AThable","@AThable")</f>
        <v>@AThable</v>
      </c>
      <c r="C1118" s="8" t="s">
        <v>4596</v>
      </c>
      <c r="D1118" s="9" t="s">
        <v>4597</v>
      </c>
      <c r="E1118" s="10" t="str">
        <f>HYPERLINK("https://twitter.com/AThable/status/1070447684220346369","1070447684220346369")</f>
        <v>1070447684220346369</v>
      </c>
      <c r="F1118" s="11"/>
      <c r="G1118" s="11"/>
      <c r="H1118" s="11"/>
      <c r="I1118" s="14">
        <v>0</v>
      </c>
      <c r="J1118" s="14">
        <v>4</v>
      </c>
      <c r="K1118" s="15" t="str">
        <f t="shared" si="234"/>
        <v>Twitter for Android</v>
      </c>
      <c r="L1118" s="14">
        <v>135</v>
      </c>
      <c r="M1118" s="14">
        <v>254</v>
      </c>
      <c r="N1118" s="14">
        <v>4</v>
      </c>
      <c r="O1118" s="16"/>
      <c r="P1118" s="6">
        <v>41734.528715277775</v>
      </c>
      <c r="Q1118" s="11"/>
      <c r="R1118" s="18"/>
      <c r="S1118" s="11"/>
      <c r="T1118" s="11"/>
      <c r="U1118" s="10" t="str">
        <f>HYPERLINK("https://pbs.twimg.com/profile_images/452396308738105344/uAoxhinN.jpeg","View")</f>
        <v>View</v>
      </c>
    </row>
    <row r="1119" spans="1:21" ht="51">
      <c r="A1119" s="6">
        <v>43439.984988425931</v>
      </c>
      <c r="B1119" s="7" t="str">
        <f>HYPERLINK("https://twitter.com/iangulochacon","@iangulochacon")</f>
        <v>@iangulochacon</v>
      </c>
      <c r="C1119" s="8" t="s">
        <v>4600</v>
      </c>
      <c r="D1119" s="9" t="s">
        <v>4601</v>
      </c>
      <c r="E1119" s="10" t="str">
        <f>HYPERLINK("https://twitter.com/iangulochacon/status/1070447319571677185","1070447319571677185")</f>
        <v>1070447319571677185</v>
      </c>
      <c r="F1119" s="11"/>
      <c r="G1119" s="13" t="s">
        <v>4602</v>
      </c>
      <c r="H1119" s="11"/>
      <c r="I1119" s="14">
        <v>2</v>
      </c>
      <c r="J1119" s="14">
        <v>1</v>
      </c>
      <c r="K1119" s="15" t="str">
        <f t="shared" ref="K1119:K1120" si="235">HYPERLINK("http://twitter.com","Twitter Web Client")</f>
        <v>Twitter Web Client</v>
      </c>
      <c r="L1119" s="14">
        <v>15859</v>
      </c>
      <c r="M1119" s="14">
        <v>16544</v>
      </c>
      <c r="N1119" s="14">
        <v>47</v>
      </c>
      <c r="O1119" s="16"/>
      <c r="P1119" s="6">
        <v>40213.701550925922</v>
      </c>
      <c r="Q1119" s="11"/>
      <c r="R1119" s="17" t="s">
        <v>4603</v>
      </c>
      <c r="S1119" s="11"/>
      <c r="T1119" s="11"/>
      <c r="U1119" s="10" t="str">
        <f>HYPERLINK("https://pbs.twimg.com/profile_images/378800000414505215/c08cd7eacd21b304319f72f6dca86b7d.jpeg","View")</f>
        <v>View</v>
      </c>
    </row>
    <row r="1120" spans="1:21" ht="20.399999999999999">
      <c r="A1120" s="6">
        <v>43439.983206018514</v>
      </c>
      <c r="B1120" s="7" t="str">
        <f>HYPERLINK("https://twitter.com/MercheBoix","@MercheBoix")</f>
        <v>@MercheBoix</v>
      </c>
      <c r="C1120" s="8" t="s">
        <v>4605</v>
      </c>
      <c r="D1120" s="9" t="s">
        <v>4606</v>
      </c>
      <c r="E1120" s="10" t="str">
        <f>HYPERLINK("https://twitter.com/MercheBoix/status/1070446673791471616","1070446673791471616")</f>
        <v>1070446673791471616</v>
      </c>
      <c r="F1120" s="11"/>
      <c r="G1120" s="11"/>
      <c r="H1120" s="11"/>
      <c r="I1120" s="14">
        <v>0</v>
      </c>
      <c r="J1120" s="14">
        <v>1</v>
      </c>
      <c r="K1120" s="15" t="str">
        <f t="shared" si="235"/>
        <v>Twitter Web Client</v>
      </c>
      <c r="L1120" s="14">
        <v>88</v>
      </c>
      <c r="M1120" s="14">
        <v>362</v>
      </c>
      <c r="N1120" s="14">
        <v>0</v>
      </c>
      <c r="O1120" s="16"/>
      <c r="P1120" s="6">
        <v>43045.815648148149</v>
      </c>
      <c r="Q1120" s="11"/>
      <c r="R1120" s="18"/>
      <c r="S1120" s="11"/>
      <c r="T1120" s="11"/>
      <c r="U1120" s="10" t="str">
        <f>HYPERLINK("https://pbs.twimg.com/profile_images/1063573690070310918/_nNPWUVf.jpg","View")</f>
        <v>View</v>
      </c>
    </row>
    <row r="1121" spans="1:21" ht="51">
      <c r="A1121" s="6">
        <v>43439.982152777782</v>
      </c>
      <c r="B1121" s="7" t="str">
        <f>HYPERLINK("https://twitter.com/malonsocs","@malonsocs")</f>
        <v>@malonsocs</v>
      </c>
      <c r="C1121" s="8" t="s">
        <v>3923</v>
      </c>
      <c r="D1121" s="9" t="s">
        <v>3924</v>
      </c>
      <c r="E1121" s="10" t="str">
        <f>HYPERLINK("https://twitter.com/malonsocs/status/1070446292655071232","1070446292655071232")</f>
        <v>1070446292655071232</v>
      </c>
      <c r="F1121" s="11"/>
      <c r="G1121" s="13" t="s">
        <v>3925</v>
      </c>
      <c r="H1121" s="11"/>
      <c r="I1121" s="14">
        <v>11</v>
      </c>
      <c r="J1121" s="14">
        <v>18</v>
      </c>
      <c r="K1121" s="15" t="str">
        <f>HYPERLINK("http://twitter.com/download/android","Twitter for Android")</f>
        <v>Twitter for Android</v>
      </c>
      <c r="L1121" s="14">
        <v>15260</v>
      </c>
      <c r="M1121" s="14">
        <v>2001</v>
      </c>
      <c r="N1121" s="14">
        <v>255</v>
      </c>
      <c r="O1121" s="19" t="s">
        <v>42</v>
      </c>
      <c r="P1121" s="6">
        <v>40146.462326388893</v>
      </c>
      <c r="Q1121" s="12" t="s">
        <v>3926</v>
      </c>
      <c r="R1121" s="17" t="s">
        <v>3927</v>
      </c>
      <c r="S1121" s="13" t="s">
        <v>3928</v>
      </c>
      <c r="T1121" s="11"/>
      <c r="U1121" s="10" t="str">
        <f>HYPERLINK("https://pbs.twimg.com/profile_images/1048967075165863937/A7tPnjX8.jpg","View")</f>
        <v>View</v>
      </c>
    </row>
    <row r="1122" spans="1:21" ht="20.399999999999999">
      <c r="A1122" s="6">
        <v>43439.980624999997</v>
      </c>
      <c r="B1122" s="7" t="str">
        <f>HYPERLINK("https://twitter.com/eliath77924399","@eliath77924399")</f>
        <v>@eliath77924399</v>
      </c>
      <c r="C1122" s="8" t="s">
        <v>4608</v>
      </c>
      <c r="D1122" s="9" t="s">
        <v>4269</v>
      </c>
      <c r="E1122" s="10" t="str">
        <f>HYPERLINK("https://twitter.com/eliath77924399/status/1070445737564143618","1070445737564143618")</f>
        <v>1070445737564143618</v>
      </c>
      <c r="F1122" s="13" t="s">
        <v>4270</v>
      </c>
      <c r="G1122" s="11"/>
      <c r="H1122" s="11"/>
      <c r="I1122" s="14">
        <v>0</v>
      </c>
      <c r="J1122" s="14">
        <v>1</v>
      </c>
      <c r="K1122" s="15" t="str">
        <f>HYPERLINK("http://twitter.com","Twitter Web Client")</f>
        <v>Twitter Web Client</v>
      </c>
      <c r="L1122" s="14">
        <v>3105</v>
      </c>
      <c r="M1122" s="14">
        <v>4962</v>
      </c>
      <c r="N1122" s="14">
        <v>6</v>
      </c>
      <c r="O1122" s="16"/>
      <c r="P1122" s="6">
        <v>43017.466319444444</v>
      </c>
      <c r="Q1122" s="12" t="s">
        <v>4609</v>
      </c>
      <c r="R1122" s="17" t="s">
        <v>4610</v>
      </c>
      <c r="S1122" s="11"/>
      <c r="T1122" s="11"/>
      <c r="U1122" s="10" t="str">
        <f>HYPERLINK("https://pbs.twimg.com/profile_images/1004765749926334464/qcK86ORp.jpg","View")</f>
        <v>View</v>
      </c>
    </row>
    <row r="1123" spans="1:21" ht="30.6">
      <c r="A1123" s="6">
        <v>43439.980428240742</v>
      </c>
      <c r="B1123" s="7" t="str">
        <f>HYPERLINK("https://twitter.com/Veaparic","@Veaparic")</f>
        <v>@Veaparic</v>
      </c>
      <c r="C1123" s="8" t="s">
        <v>4611</v>
      </c>
      <c r="D1123" s="9" t="s">
        <v>4612</v>
      </c>
      <c r="E1123" s="10" t="str">
        <f>HYPERLINK("https://twitter.com/Veaparic/status/1070445665203949568","1070445665203949568")</f>
        <v>1070445665203949568</v>
      </c>
      <c r="F1123" s="13" t="s">
        <v>4615</v>
      </c>
      <c r="G1123" s="11"/>
      <c r="H1123" s="11"/>
      <c r="I1123" s="14">
        <v>0</v>
      </c>
      <c r="J1123" s="14">
        <v>0</v>
      </c>
      <c r="K1123" s="15" t="str">
        <f>HYPERLINK("http://twitter.com/download/iphone","Twitter for iPhone")</f>
        <v>Twitter for iPhone</v>
      </c>
      <c r="L1123" s="14">
        <v>743</v>
      </c>
      <c r="M1123" s="14">
        <v>1467</v>
      </c>
      <c r="N1123" s="14">
        <v>3</v>
      </c>
      <c r="O1123" s="16"/>
      <c r="P1123" s="6">
        <v>41370.759814814817</v>
      </c>
      <c r="Q1123" s="12" t="s">
        <v>1928</v>
      </c>
      <c r="R1123" s="17" t="s">
        <v>4616</v>
      </c>
      <c r="S1123" s="11"/>
      <c r="T1123" s="11"/>
      <c r="U1123" s="10" t="str">
        <f>HYPERLINK("https://pbs.twimg.com/profile_images/942129890295517184/1dspVY0o.jpg","View")</f>
        <v>View</v>
      </c>
    </row>
    <row r="1124" spans="1:21" ht="40.799999999999997">
      <c r="A1124" s="6">
        <v>43439.979155092587</v>
      </c>
      <c r="B1124" s="7" t="str">
        <f>HYPERLINK("https://twitter.com/informativost5","@informativost5")</f>
        <v>@informativost5</v>
      </c>
      <c r="C1124" s="8" t="s">
        <v>2825</v>
      </c>
      <c r="D1124" s="9" t="s">
        <v>4619</v>
      </c>
      <c r="E1124" s="10" t="str">
        <f>HYPERLINK("https://twitter.com/informativost5/status/1070445207177650178","1070445207177650178")</f>
        <v>1070445207177650178</v>
      </c>
      <c r="F1124" s="13" t="s">
        <v>4621</v>
      </c>
      <c r="G1124" s="13" t="s">
        <v>4622</v>
      </c>
      <c r="H1124" s="11"/>
      <c r="I1124" s="14">
        <v>2</v>
      </c>
      <c r="J1124" s="14">
        <v>3</v>
      </c>
      <c r="K1124" s="15" t="str">
        <f>HYPERLINK("https://about.twitter.com/products/tweetdeck","TweetDeck")</f>
        <v>TweetDeck</v>
      </c>
      <c r="L1124" s="14">
        <v>696202</v>
      </c>
      <c r="M1124" s="14">
        <v>1234</v>
      </c>
      <c r="N1124" s="14">
        <v>3417</v>
      </c>
      <c r="O1124" s="19" t="s">
        <v>42</v>
      </c>
      <c r="P1124" s="6">
        <v>39720.789826388893</v>
      </c>
      <c r="Q1124" s="12" t="s">
        <v>2831</v>
      </c>
      <c r="R1124" s="17" t="s">
        <v>2832</v>
      </c>
      <c r="S1124" s="13" t="s">
        <v>2833</v>
      </c>
      <c r="T1124" s="11"/>
      <c r="U1124" s="10" t="str">
        <f>HYPERLINK("https://pbs.twimg.com/profile_images/927916068248739840/uCErGmhm.jpg","View")</f>
        <v>View</v>
      </c>
    </row>
    <row r="1125" spans="1:21" ht="71.400000000000006">
      <c r="A1125" s="6">
        <v>43439.978391203702</v>
      </c>
      <c r="B1125" s="7" t="str">
        <f>HYPERLINK("https://twitter.com/dakturdave","@dakturdave")</f>
        <v>@dakturdave</v>
      </c>
      <c r="C1125" s="8" t="s">
        <v>2283</v>
      </c>
      <c r="D1125" s="9" t="s">
        <v>3929</v>
      </c>
      <c r="E1125" s="10" t="str">
        <f>HYPERLINK("https://twitter.com/dakturdave/status/1070444927232937984","1070444927232937984")</f>
        <v>1070444927232937984</v>
      </c>
      <c r="F1125" s="13" t="s">
        <v>3930</v>
      </c>
      <c r="G1125" s="13" t="s">
        <v>3931</v>
      </c>
      <c r="H1125" s="11"/>
      <c r="I1125" s="14">
        <v>0</v>
      </c>
      <c r="J1125" s="14">
        <v>0</v>
      </c>
      <c r="K1125" s="15" t="str">
        <f>HYPERLINK("http://twitter.com/download/android","Twitter for Android")</f>
        <v>Twitter for Android</v>
      </c>
      <c r="L1125" s="14">
        <v>259</v>
      </c>
      <c r="M1125" s="14">
        <v>467</v>
      </c>
      <c r="N1125" s="14">
        <v>6</v>
      </c>
      <c r="O1125" s="16"/>
      <c r="P1125" s="6">
        <v>40565.781990740739</v>
      </c>
      <c r="Q1125" s="11"/>
      <c r="R1125" s="17" t="s">
        <v>2286</v>
      </c>
      <c r="S1125" s="11"/>
      <c r="T1125" s="11"/>
      <c r="U1125" s="10" t="str">
        <f>HYPERLINK("https://pbs.twimg.com/profile_images/378800000610983136/e9c73b7ebd58ab95dcbf8f55c2b7980a.jpeg","View")</f>
        <v>View</v>
      </c>
    </row>
    <row r="1126" spans="1:21" ht="20.399999999999999">
      <c r="A1126" s="6">
        <v>43439.971516203703</v>
      </c>
      <c r="B1126" s="7" t="str">
        <f>HYPERLINK("https://twitter.com/Ange_Garcia66","@Ange_Garcia66")</f>
        <v>@Ange_Garcia66</v>
      </c>
      <c r="C1126" s="8" t="s">
        <v>4624</v>
      </c>
      <c r="D1126" s="9" t="s">
        <v>4625</v>
      </c>
      <c r="E1126" s="10" t="str">
        <f>HYPERLINK("https://twitter.com/Ange_Garcia66/status/1070442437586378752","1070442437586378752")</f>
        <v>1070442437586378752</v>
      </c>
      <c r="F1126" s="13" t="s">
        <v>4180</v>
      </c>
      <c r="G1126" s="11"/>
      <c r="H1126" s="11"/>
      <c r="I1126" s="14">
        <v>0</v>
      </c>
      <c r="J1126" s="14">
        <v>0</v>
      </c>
      <c r="K1126" s="15" t="str">
        <f>HYPERLINK("http://twitter.com/#!/download/ipad","Twitter for iPad")</f>
        <v>Twitter for iPad</v>
      </c>
      <c r="L1126" s="14">
        <v>59</v>
      </c>
      <c r="M1126" s="14">
        <v>106</v>
      </c>
      <c r="N1126" s="14">
        <v>0</v>
      </c>
      <c r="O1126" s="16"/>
      <c r="P1126" s="6">
        <v>42861.975405092591</v>
      </c>
      <c r="Q1126" s="12" t="s">
        <v>4626</v>
      </c>
      <c r="R1126" s="18"/>
      <c r="S1126" s="11"/>
      <c r="T1126" s="11"/>
      <c r="U1126" s="10" t="str">
        <f>HYPERLINK("https://pbs.twimg.com/profile_images/860980696671805440/3F0oWpBJ.jpg","View")</f>
        <v>View</v>
      </c>
    </row>
    <row r="1127" spans="1:21" ht="40.799999999999997">
      <c r="A1127" s="6">
        <v>43439.967986111107</v>
      </c>
      <c r="B1127" s="7" t="str">
        <f>HYPERLINK("https://twitter.com/CsCarabanchel","@CsCarabanchel")</f>
        <v>@CsCarabanchel</v>
      </c>
      <c r="C1127" s="8" t="s">
        <v>1583</v>
      </c>
      <c r="D1127" s="9" t="s">
        <v>3932</v>
      </c>
      <c r="E1127" s="10" t="str">
        <f>HYPERLINK("https://twitter.com/CsCarabanchel/status/1070441157296046080","1070441157296046080")</f>
        <v>1070441157296046080</v>
      </c>
      <c r="F1127" s="13" t="s">
        <v>3933</v>
      </c>
      <c r="G1127" s="11"/>
      <c r="H1127" s="11"/>
      <c r="I1127" s="14">
        <v>10</v>
      </c>
      <c r="J1127" s="14">
        <v>15</v>
      </c>
      <c r="K1127" s="15" t="str">
        <f t="shared" ref="K1127:K1129" si="236">HYPERLINK("http://twitter.com/download/android","Twitter for Android")</f>
        <v>Twitter for Android</v>
      </c>
      <c r="L1127" s="14">
        <v>2777</v>
      </c>
      <c r="M1127" s="14">
        <v>248</v>
      </c>
      <c r="N1127" s="14">
        <v>34</v>
      </c>
      <c r="O1127" s="16"/>
      <c r="P1127" s="6">
        <v>42290.749930555554</v>
      </c>
      <c r="Q1127" s="11"/>
      <c r="R1127" s="17" t="s">
        <v>1586</v>
      </c>
      <c r="S1127" s="13" t="s">
        <v>1587</v>
      </c>
      <c r="T1127" s="11"/>
      <c r="U1127" s="10" t="str">
        <f>HYPERLINK("https://pbs.twimg.com/profile_images/899562690628157441/NezTBybx.jpg","View")</f>
        <v>View</v>
      </c>
    </row>
    <row r="1128" spans="1:21" ht="51">
      <c r="A1128" s="6">
        <v>43439.967349537037</v>
      </c>
      <c r="B1128" s="7" t="str">
        <f>HYPERLINK("https://twitter.com/Mendoza1967","@Mendoza1967")</f>
        <v>@Mendoza1967</v>
      </c>
      <c r="C1128" s="8" t="s">
        <v>3934</v>
      </c>
      <c r="D1128" s="9" t="s">
        <v>3935</v>
      </c>
      <c r="E1128" s="10" t="str">
        <f>HYPERLINK("https://twitter.com/Mendoza1967/status/1070440927112691718","1070440927112691718")</f>
        <v>1070440927112691718</v>
      </c>
      <c r="F1128" s="11"/>
      <c r="G1128" s="13" t="s">
        <v>3936</v>
      </c>
      <c r="H1128" s="11"/>
      <c r="I1128" s="14">
        <v>0</v>
      </c>
      <c r="J1128" s="14">
        <v>6</v>
      </c>
      <c r="K1128" s="15" t="str">
        <f t="shared" si="236"/>
        <v>Twitter for Android</v>
      </c>
      <c r="L1128" s="14">
        <v>418</v>
      </c>
      <c r="M1128" s="14">
        <v>706</v>
      </c>
      <c r="N1128" s="14">
        <v>6</v>
      </c>
      <c r="O1128" s="16"/>
      <c r="P1128" s="6">
        <v>40815.620694444442</v>
      </c>
      <c r="Q1128" s="12" t="s">
        <v>3937</v>
      </c>
      <c r="R1128" s="17" t="s">
        <v>3938</v>
      </c>
      <c r="S1128" s="11"/>
      <c r="T1128" s="11"/>
      <c r="U1128" s="10" t="str">
        <f>HYPERLINK("https://pbs.twimg.com/profile_images/992154051289722880/B69A4EeV.jpg","View")</f>
        <v>View</v>
      </c>
    </row>
    <row r="1129" spans="1:21" ht="40.799999999999997">
      <c r="A1129" s="6">
        <v>43439.965462962966</v>
      </c>
      <c r="B1129" s="7" t="str">
        <f>HYPERLINK("https://twitter.com/MariaJ__Serrano","@MariaJ__Serrano")</f>
        <v>@MariaJ__Serrano</v>
      </c>
      <c r="C1129" s="8" t="s">
        <v>4629</v>
      </c>
      <c r="D1129" s="9" t="s">
        <v>4630</v>
      </c>
      <c r="E1129" s="10" t="str">
        <f>HYPERLINK("https://twitter.com/MariaJ__Serrano/status/1070440242904264710","1070440242904264710")</f>
        <v>1070440242904264710</v>
      </c>
      <c r="F1129" s="13" t="s">
        <v>3869</v>
      </c>
      <c r="G1129" s="11"/>
      <c r="H1129" s="11"/>
      <c r="I1129" s="14">
        <v>0</v>
      </c>
      <c r="J1129" s="14">
        <v>0</v>
      </c>
      <c r="K1129" s="15" t="str">
        <f t="shared" si="236"/>
        <v>Twitter for Android</v>
      </c>
      <c r="L1129" s="14">
        <v>1245</v>
      </c>
      <c r="M1129" s="14">
        <v>1933</v>
      </c>
      <c r="N1129" s="14">
        <v>20</v>
      </c>
      <c r="O1129" s="16"/>
      <c r="P1129" s="6">
        <v>40249.558634259258</v>
      </c>
      <c r="Q1129" s="12" t="s">
        <v>4631</v>
      </c>
      <c r="R1129" s="17" t="s">
        <v>4632</v>
      </c>
      <c r="S1129" s="11"/>
      <c r="T1129" s="11"/>
      <c r="U1129" s="10" t="str">
        <f>HYPERLINK("https://pbs.twimg.com/profile_images/1052122147764748288/xrP0UAGQ.jpg","View")</f>
        <v>View</v>
      </c>
    </row>
    <row r="1130" spans="1:21" ht="20.399999999999999">
      <c r="A1130" s="6">
        <v>43439.965277777781</v>
      </c>
      <c r="B1130" s="7" t="str">
        <f>HYPERLINK("https://twitter.com/cosetano2","@cosetano2")</f>
        <v>@cosetano2</v>
      </c>
      <c r="C1130" s="8" t="s">
        <v>3939</v>
      </c>
      <c r="D1130" s="9" t="s">
        <v>3940</v>
      </c>
      <c r="E1130" s="10" t="str">
        <f>HYPERLINK("https://twitter.com/cosetano2/status/1070440177246633984","1070440177246633984")</f>
        <v>1070440177246633984</v>
      </c>
      <c r="F1130" s="11"/>
      <c r="G1130" s="11"/>
      <c r="H1130" s="11"/>
      <c r="I1130" s="14">
        <v>0</v>
      </c>
      <c r="J1130" s="14">
        <v>0</v>
      </c>
      <c r="K1130" s="15" t="str">
        <f>HYPERLINK("https://mobile.twitter.com","Twitter Lite")</f>
        <v>Twitter Lite</v>
      </c>
      <c r="L1130" s="14">
        <v>431</v>
      </c>
      <c r="M1130" s="14">
        <v>526</v>
      </c>
      <c r="N1130" s="14">
        <v>3</v>
      </c>
      <c r="O1130" s="16"/>
      <c r="P1130" s="6">
        <v>42084.641423611116</v>
      </c>
      <c r="Q1130" s="11"/>
      <c r="R1130" s="17" t="s">
        <v>3945</v>
      </c>
      <c r="S1130" s="11"/>
      <c r="T1130" s="11"/>
      <c r="U1130" s="10" t="str">
        <f>HYPERLINK("https://pbs.twimg.com/profile_images/985267846216343553/noFmmmJ7.jpg","View")</f>
        <v>View</v>
      </c>
    </row>
    <row r="1131" spans="1:21" ht="30.6">
      <c r="A1131" s="6">
        <v>43439.963182870371</v>
      </c>
      <c r="B1131" s="7" t="str">
        <f>HYPERLINK("https://twitter.com/2Luminez","@2Luminez")</f>
        <v>@2Luminez</v>
      </c>
      <c r="C1131" s="8" t="s">
        <v>4638</v>
      </c>
      <c r="D1131" s="9" t="s">
        <v>4639</v>
      </c>
      <c r="E1131" s="10" t="str">
        <f>HYPERLINK("https://twitter.com/2Luminez/status/1070439416374718465","1070439416374718465")</f>
        <v>1070439416374718465</v>
      </c>
      <c r="F1131" s="13" t="s">
        <v>4640</v>
      </c>
      <c r="G1131" s="11"/>
      <c r="H1131" s="11"/>
      <c r="I1131" s="14">
        <v>0</v>
      </c>
      <c r="J1131" s="14">
        <v>0</v>
      </c>
      <c r="K1131" s="15" t="str">
        <f>HYPERLINK("http://twitter.com/download/android","Twitter for Android")</f>
        <v>Twitter for Android</v>
      </c>
      <c r="L1131" s="14">
        <v>139</v>
      </c>
      <c r="M1131" s="14">
        <v>60</v>
      </c>
      <c r="N1131" s="14">
        <v>4</v>
      </c>
      <c r="O1131" s="16"/>
      <c r="P1131" s="6">
        <v>41373.9846412037</v>
      </c>
      <c r="Q1131" s="12" t="s">
        <v>1808</v>
      </c>
      <c r="R1131" s="17" t="s">
        <v>4642</v>
      </c>
      <c r="S1131" s="11"/>
      <c r="T1131" s="11"/>
      <c r="U1131" s="10" t="str">
        <f>HYPERLINK("https://pbs.twimg.com/profile_images/378800000437549519/d27b1079f2e2df7f23c7fd6bc61774ee.jpeg","View")</f>
        <v>View</v>
      </c>
    </row>
    <row r="1132" spans="1:21" ht="20.399999999999999">
      <c r="A1132" s="6">
        <v>43439.962581018517</v>
      </c>
      <c r="B1132" s="7" t="str">
        <f>HYPERLINK("https://twitter.com/DhPardela","@DhPardela")</f>
        <v>@DhPardela</v>
      </c>
      <c r="C1132" s="8" t="s">
        <v>4643</v>
      </c>
      <c r="D1132" s="9" t="s">
        <v>4644</v>
      </c>
      <c r="E1132" s="10" t="str">
        <f>HYPERLINK("https://twitter.com/DhPardela/status/1070439198216388608","1070439198216388608")</f>
        <v>1070439198216388608</v>
      </c>
      <c r="F1132" s="13" t="s">
        <v>4645</v>
      </c>
      <c r="G1132" s="11"/>
      <c r="H1132" s="11"/>
      <c r="I1132" s="14">
        <v>0</v>
      </c>
      <c r="J1132" s="14">
        <v>0</v>
      </c>
      <c r="K1132" s="15" t="str">
        <f t="shared" ref="K1132:K1133" si="237">HYPERLINK("http://twitter.com/download/iphone","Twitter for iPhone")</f>
        <v>Twitter for iPhone</v>
      </c>
      <c r="L1132" s="14">
        <v>1591</v>
      </c>
      <c r="M1132" s="14">
        <v>1596</v>
      </c>
      <c r="N1132" s="14">
        <v>50</v>
      </c>
      <c r="O1132" s="16"/>
      <c r="P1132" s="6">
        <v>41825.081226851849</v>
      </c>
      <c r="Q1132" s="12" t="s">
        <v>4646</v>
      </c>
      <c r="R1132" s="17" t="s">
        <v>4647</v>
      </c>
      <c r="S1132" s="11"/>
      <c r="T1132" s="11"/>
      <c r="U1132" s="10" t="str">
        <f>HYPERLINK("https://pbs.twimg.com/profile_images/1069200251096104960/dTuOHa5V.jpg","View")</f>
        <v>View</v>
      </c>
    </row>
    <row r="1133" spans="1:21" ht="81.599999999999994">
      <c r="A1133" s="6">
        <v>43439.961701388893</v>
      </c>
      <c r="B1133" s="7" t="str">
        <f>HYPERLINK("https://twitter.com/____oscar_","@____oscar_")</f>
        <v>@____oscar_</v>
      </c>
      <c r="C1133" s="8" t="s">
        <v>4648</v>
      </c>
      <c r="D1133" s="9" t="s">
        <v>4650</v>
      </c>
      <c r="E1133" s="10" t="str">
        <f>HYPERLINK("https://twitter.com/____oscar_/status/1070438878174171136","1070438878174171136")</f>
        <v>1070438878174171136</v>
      </c>
      <c r="F1133" s="13" t="s">
        <v>3847</v>
      </c>
      <c r="G1133" s="13" t="s">
        <v>2057</v>
      </c>
      <c r="H1133" s="11"/>
      <c r="I1133" s="14">
        <v>0</v>
      </c>
      <c r="J1133" s="14">
        <v>0</v>
      </c>
      <c r="K1133" s="15" t="str">
        <f t="shared" si="237"/>
        <v>Twitter for iPhone</v>
      </c>
      <c r="L1133" s="14">
        <v>395</v>
      </c>
      <c r="M1133" s="14">
        <v>205</v>
      </c>
      <c r="N1133" s="14">
        <v>2</v>
      </c>
      <c r="O1133" s="16"/>
      <c r="P1133" s="6">
        <v>40767.761956018519</v>
      </c>
      <c r="Q1133" s="12" t="s">
        <v>2355</v>
      </c>
      <c r="R1133" s="17" t="s">
        <v>4653</v>
      </c>
      <c r="S1133" s="11"/>
      <c r="T1133" s="11"/>
      <c r="U1133" s="10" t="str">
        <f>HYPERLINK("https://pbs.twimg.com/profile_images/978180335132430336/8AB1fHn8.jpg","View")</f>
        <v>View</v>
      </c>
    </row>
    <row r="1134" spans="1:21" ht="20.399999999999999">
      <c r="A1134" s="6">
        <v>43439.960682870369</v>
      </c>
      <c r="B1134" s="7" t="str">
        <f>HYPERLINK("https://twitter.com/josancubero","@josancubero")</f>
        <v>@josancubero</v>
      </c>
      <c r="C1134" s="8" t="s">
        <v>4654</v>
      </c>
      <c r="D1134" s="9" t="s">
        <v>4656</v>
      </c>
      <c r="E1134" s="10" t="str">
        <f>HYPERLINK("https://twitter.com/josancubero/status/1070438511181000704","1070438511181000704")</f>
        <v>1070438511181000704</v>
      </c>
      <c r="F1134" s="11"/>
      <c r="G1134" s="11"/>
      <c r="H1134" s="11"/>
      <c r="I1134" s="14">
        <v>0</v>
      </c>
      <c r="J1134" s="14">
        <v>1</v>
      </c>
      <c r="K1134" s="15" t="str">
        <f>HYPERLINK("http://twitter.com/download/android","Twitter for Android")</f>
        <v>Twitter for Android</v>
      </c>
      <c r="L1134" s="14">
        <v>111</v>
      </c>
      <c r="M1134" s="14">
        <v>261</v>
      </c>
      <c r="N1134" s="14">
        <v>1</v>
      </c>
      <c r="O1134" s="16"/>
      <c r="P1134" s="6">
        <v>40847.929791666669</v>
      </c>
      <c r="Q1134" s="11"/>
      <c r="R1134" s="18"/>
      <c r="S1134" s="11"/>
      <c r="T1134" s="11"/>
      <c r="U1134" s="10" t="str">
        <f>HYPERLINK("https://pbs.twimg.com/profile_images/779932734940712961/-_tu0qjv.jpg","View")</f>
        <v>View</v>
      </c>
    </row>
    <row r="1135" spans="1:21" ht="112.2">
      <c r="A1135" s="6">
        <v>43439.96025462963</v>
      </c>
      <c r="B1135" s="7" t="str">
        <f>HYPERLINK("https://twitter.com/AJMeraviglia","@AJMeraviglia")</f>
        <v>@AJMeraviglia</v>
      </c>
      <c r="C1135" s="8" t="s">
        <v>3946</v>
      </c>
      <c r="D1135" s="9" t="s">
        <v>3947</v>
      </c>
      <c r="E1135" s="10" t="str">
        <f>HYPERLINK("https://twitter.com/AJMeraviglia/status/1070438355702304768","1070438355702304768")</f>
        <v>1070438355702304768</v>
      </c>
      <c r="F1135" s="12" t="s">
        <v>3948</v>
      </c>
      <c r="G1135" s="11"/>
      <c r="H1135" s="11"/>
      <c r="I1135" s="14">
        <v>0</v>
      </c>
      <c r="J1135" s="14">
        <v>1</v>
      </c>
      <c r="K1135" s="15" t="str">
        <f>HYPERLINK("http://twitter.com","Twitter Web Client")</f>
        <v>Twitter Web Client</v>
      </c>
      <c r="L1135" s="14">
        <v>498</v>
      </c>
      <c r="M1135" s="14">
        <v>1150</v>
      </c>
      <c r="N1135" s="14">
        <v>83</v>
      </c>
      <c r="O1135" s="16"/>
      <c r="P1135" s="6">
        <v>40852.550497685181</v>
      </c>
      <c r="Q1135" s="11"/>
      <c r="R1135" s="17" t="s">
        <v>3950</v>
      </c>
      <c r="S1135" s="11"/>
      <c r="T1135" s="11"/>
      <c r="U1135" s="10" t="str">
        <f>HYPERLINK("https://pbs.twimg.com/profile_images/1070451438143315968/sJRip0kN.jpg","View")</f>
        <v>View</v>
      </c>
    </row>
    <row r="1136" spans="1:21" ht="51">
      <c r="A1136" s="6">
        <v>43439.959722222222</v>
      </c>
      <c r="B1136" s="7" t="str">
        <f t="shared" ref="B1136:B1137" si="238">HYPERLINK("https://twitter.com/bitMomentum","@bitMomentum")</f>
        <v>@bitMomentum</v>
      </c>
      <c r="C1136" s="8" t="s">
        <v>1889</v>
      </c>
      <c r="D1136" s="9" t="s">
        <v>3953</v>
      </c>
      <c r="E1136" s="10" t="str">
        <f>HYPERLINK("https://twitter.com/bitMomentum/status/1070438161493446656","1070438161493446656")</f>
        <v>1070438161493446656</v>
      </c>
      <c r="F1136" s="11"/>
      <c r="G1136" s="11"/>
      <c r="H1136" s="11"/>
      <c r="I1136" s="14">
        <v>0</v>
      </c>
      <c r="J1136" s="14">
        <v>0</v>
      </c>
      <c r="K1136" s="15" t="str">
        <f t="shared" ref="K1136:K1137" si="239">HYPERLINK("http://www.bitmomentum.com","bitMomentum Bot")</f>
        <v>bitMomentum Bot</v>
      </c>
      <c r="L1136" s="14">
        <v>10254</v>
      </c>
      <c r="M1136" s="14">
        <v>1059</v>
      </c>
      <c r="N1136" s="14">
        <v>263</v>
      </c>
      <c r="O1136" s="16"/>
      <c r="P1136" s="6">
        <v>41608.667511574073</v>
      </c>
      <c r="Q1136" s="11"/>
      <c r="R1136" s="17" t="s">
        <v>1897</v>
      </c>
      <c r="S1136" s="13" t="s">
        <v>1898</v>
      </c>
      <c r="T1136" s="11"/>
      <c r="U1136" s="10" t="str">
        <f t="shared" ref="U1136:U1137" si="240">HYPERLINK("https://pbs.twimg.com/profile_images/378800000862185241/20ij2H3u.png","View")</f>
        <v>View</v>
      </c>
    </row>
    <row r="1137" spans="1:21" ht="51">
      <c r="A1137" s="6">
        <v>43439.959722222222</v>
      </c>
      <c r="B1137" s="7" t="str">
        <f t="shared" si="238"/>
        <v>@bitMomentum</v>
      </c>
      <c r="C1137" s="8" t="s">
        <v>1889</v>
      </c>
      <c r="D1137" s="9" t="s">
        <v>3955</v>
      </c>
      <c r="E1137" s="10" t="str">
        <f>HYPERLINK("https://twitter.com/bitMomentum/status/1070438161485086720","1070438161485086720")</f>
        <v>1070438161485086720</v>
      </c>
      <c r="F1137" s="11"/>
      <c r="G1137" s="11"/>
      <c r="H1137" s="11"/>
      <c r="I1137" s="14">
        <v>0</v>
      </c>
      <c r="J1137" s="14">
        <v>1</v>
      </c>
      <c r="K1137" s="15" t="str">
        <f t="shared" si="239"/>
        <v>bitMomentum Bot</v>
      </c>
      <c r="L1137" s="14">
        <v>10254</v>
      </c>
      <c r="M1137" s="14">
        <v>1059</v>
      </c>
      <c r="N1137" s="14">
        <v>263</v>
      </c>
      <c r="O1137" s="16"/>
      <c r="P1137" s="6">
        <v>41608.667511574073</v>
      </c>
      <c r="Q1137" s="11"/>
      <c r="R1137" s="17" t="s">
        <v>1897</v>
      </c>
      <c r="S1137" s="13" t="s">
        <v>1898</v>
      </c>
      <c r="T1137" s="11"/>
      <c r="U1137" s="10" t="str">
        <f t="shared" si="240"/>
        <v>View</v>
      </c>
    </row>
    <row r="1138" spans="1:21" ht="40.799999999999997">
      <c r="A1138" s="6">
        <v>43439.959502314814</v>
      </c>
      <c r="B1138" s="7" t="str">
        <f>HYPERLINK("https://twitter.com/Ivan_Pietri","@Ivan_Pietri")</f>
        <v>@Ivan_Pietri</v>
      </c>
      <c r="C1138" s="8" t="s">
        <v>3956</v>
      </c>
      <c r="D1138" s="9" t="s">
        <v>3957</v>
      </c>
      <c r="E1138" s="10" t="str">
        <f>HYPERLINK("https://twitter.com/Ivan_Pietri/status/1070438084691550209","1070438084691550209")</f>
        <v>1070438084691550209</v>
      </c>
      <c r="F1138" s="13" t="s">
        <v>3958</v>
      </c>
      <c r="G1138" s="11"/>
      <c r="H1138" s="11"/>
      <c r="I1138" s="14">
        <v>4</v>
      </c>
      <c r="J1138" s="14">
        <v>8</v>
      </c>
      <c r="K1138" s="15" t="str">
        <f t="shared" ref="K1138:K1139" si="241">HYPERLINK("http://twitter.com/download/android","Twitter for Android")</f>
        <v>Twitter for Android</v>
      </c>
      <c r="L1138" s="14">
        <v>33325</v>
      </c>
      <c r="M1138" s="14">
        <v>33251</v>
      </c>
      <c r="N1138" s="14">
        <v>119</v>
      </c>
      <c r="O1138" s="16"/>
      <c r="P1138" s="6">
        <v>41374.792569444442</v>
      </c>
      <c r="Q1138" s="12" t="s">
        <v>3959</v>
      </c>
      <c r="R1138" s="17" t="s">
        <v>3960</v>
      </c>
      <c r="S1138" s="13" t="s">
        <v>3961</v>
      </c>
      <c r="T1138" s="11"/>
      <c r="U1138" s="10" t="str">
        <f>HYPERLINK("https://pbs.twimg.com/profile_images/617459660602372096/5DOvWcMM.jpg","View")</f>
        <v>View</v>
      </c>
    </row>
    <row r="1139" spans="1:21" ht="40.799999999999997">
      <c r="A1139" s="6">
        <v>43439.959456018521</v>
      </c>
      <c r="B1139" s="7" t="str">
        <f>HYPERLINK("https://twitter.com/naranjacainita","@naranjacainita")</f>
        <v>@naranjacainita</v>
      </c>
      <c r="C1139" s="8" t="s">
        <v>4667</v>
      </c>
      <c r="D1139" s="9" t="s">
        <v>4668</v>
      </c>
      <c r="E1139" s="10" t="str">
        <f>HYPERLINK("https://twitter.com/naranjacainita/status/1070438067276824576","1070438067276824576")</f>
        <v>1070438067276824576</v>
      </c>
      <c r="F1139" s="11"/>
      <c r="G1139" s="11"/>
      <c r="H1139" s="11"/>
      <c r="I1139" s="14">
        <v>0</v>
      </c>
      <c r="J1139" s="14">
        <v>0</v>
      </c>
      <c r="K1139" s="15" t="str">
        <f t="shared" si="241"/>
        <v>Twitter for Android</v>
      </c>
      <c r="L1139" s="14">
        <v>149</v>
      </c>
      <c r="M1139" s="14">
        <v>268</v>
      </c>
      <c r="N1139" s="14">
        <v>4</v>
      </c>
      <c r="O1139" s="16"/>
      <c r="P1139" s="6">
        <v>40671.002881944441</v>
      </c>
      <c r="Q1139" s="12" t="s">
        <v>83</v>
      </c>
      <c r="R1139" s="17" t="s">
        <v>4671</v>
      </c>
      <c r="S1139" s="11"/>
      <c r="T1139" s="11"/>
      <c r="U1139" s="10" t="str">
        <f>HYPERLINK("https://pbs.twimg.com/profile_images/978043264250019840/kXQsjRmu.jpg","View")</f>
        <v>View</v>
      </c>
    </row>
    <row r="1140" spans="1:21" ht="51">
      <c r="A1140" s="6">
        <v>43439.959027777775</v>
      </c>
      <c r="B1140" s="7" t="str">
        <f>HYPERLINK("https://twitter.com/bitMomentum","@bitMomentum")</f>
        <v>@bitMomentum</v>
      </c>
      <c r="C1140" s="8" t="s">
        <v>1889</v>
      </c>
      <c r="D1140" s="9" t="s">
        <v>3962</v>
      </c>
      <c r="E1140" s="10" t="str">
        <f>HYPERLINK("https://twitter.com/bitMomentum/status/1070437910011396096","1070437910011396096")</f>
        <v>1070437910011396096</v>
      </c>
      <c r="F1140" s="11"/>
      <c r="G1140" s="11"/>
      <c r="H1140" s="11"/>
      <c r="I1140" s="14">
        <v>0</v>
      </c>
      <c r="J1140" s="14">
        <v>0</v>
      </c>
      <c r="K1140" s="15" t="str">
        <f>HYPERLINK("http://www.bitmomentum.com","bitMomentum Bot")</f>
        <v>bitMomentum Bot</v>
      </c>
      <c r="L1140" s="14">
        <v>10254</v>
      </c>
      <c r="M1140" s="14">
        <v>1059</v>
      </c>
      <c r="N1140" s="14">
        <v>263</v>
      </c>
      <c r="O1140" s="16"/>
      <c r="P1140" s="6">
        <v>41608.667511574073</v>
      </c>
      <c r="Q1140" s="11"/>
      <c r="R1140" s="17" t="s">
        <v>1897</v>
      </c>
      <c r="S1140" s="13" t="s">
        <v>1898</v>
      </c>
      <c r="T1140" s="11"/>
      <c r="U1140" s="10" t="str">
        <f>HYPERLINK("https://pbs.twimg.com/profile_images/378800000862185241/20ij2H3u.png","View")</f>
        <v>View</v>
      </c>
    </row>
    <row r="1141" spans="1:21" ht="40.799999999999997">
      <c r="A1141" s="6">
        <v>43439.958414351851</v>
      </c>
      <c r="B1141" s="7" t="str">
        <f>HYPERLINK("https://twitter.com/conservdig","@conservdig")</f>
        <v>@conservdig</v>
      </c>
      <c r="C1141" s="8" t="s">
        <v>4677</v>
      </c>
      <c r="D1141" s="9" t="s">
        <v>4678</v>
      </c>
      <c r="E1141" s="10" t="str">
        <f>HYPERLINK("https://twitter.com/conservdig/status/1070437688963158019","1070437688963158019")</f>
        <v>1070437688963158019</v>
      </c>
      <c r="F1141" s="13" t="s">
        <v>4681</v>
      </c>
      <c r="G1141" s="11"/>
      <c r="H1141" s="11"/>
      <c r="I1141" s="14">
        <v>1</v>
      </c>
      <c r="J1141" s="14">
        <v>0</v>
      </c>
      <c r="K1141" s="15" t="str">
        <f>HYPERLINK("http://www.facebook.com/twitter","Facebook")</f>
        <v>Facebook</v>
      </c>
      <c r="L1141" s="14">
        <v>1845</v>
      </c>
      <c r="M1141" s="14">
        <v>1640</v>
      </c>
      <c r="N1141" s="14">
        <v>7</v>
      </c>
      <c r="O1141" s="16"/>
      <c r="P1141" s="6">
        <v>43040.882303240738</v>
      </c>
      <c r="Q1141" s="12" t="s">
        <v>137</v>
      </c>
      <c r="R1141" s="17" t="s">
        <v>4682</v>
      </c>
      <c r="S1141" s="13" t="s">
        <v>4683</v>
      </c>
      <c r="T1141" s="11"/>
      <c r="U1141" s="10" t="str">
        <f>HYPERLINK("https://pbs.twimg.com/profile_images/947163771851673601/yHdqa11X.jpg","View")</f>
        <v>View</v>
      </c>
    </row>
    <row r="1142" spans="1:21" ht="51">
      <c r="A1142" s="6">
        <v>43439.957685185189</v>
      </c>
      <c r="B1142" s="7" t="str">
        <f>HYPERLINK("https://twitter.com/maryarecog","@maryarecog")</f>
        <v>@maryarecog</v>
      </c>
      <c r="C1142" s="8" t="s">
        <v>3963</v>
      </c>
      <c r="D1142" s="9" t="s">
        <v>3964</v>
      </c>
      <c r="E1142" s="10" t="str">
        <f>HYPERLINK("https://twitter.com/maryarecog/status/1070437426273968130","1070437426273968130")</f>
        <v>1070437426273968130</v>
      </c>
      <c r="F1142" s="11"/>
      <c r="G1142" s="11"/>
      <c r="H1142" s="11"/>
      <c r="I1142" s="14">
        <v>0</v>
      </c>
      <c r="J1142" s="14">
        <v>2</v>
      </c>
      <c r="K1142" s="15" t="str">
        <f>HYPERLINK("http://twitter.com/download/iphone","Twitter for iPhone")</f>
        <v>Twitter for iPhone</v>
      </c>
      <c r="L1142" s="14">
        <v>266</v>
      </c>
      <c r="M1142" s="14">
        <v>321</v>
      </c>
      <c r="N1142" s="14">
        <v>4</v>
      </c>
      <c r="O1142" s="16"/>
      <c r="P1142" s="6">
        <v>40672.420011574075</v>
      </c>
      <c r="Q1142" s="12" t="s">
        <v>3965</v>
      </c>
      <c r="R1142" s="17" t="s">
        <v>3966</v>
      </c>
      <c r="S1142" s="11"/>
      <c r="T1142" s="11"/>
      <c r="U1142" s="10" t="str">
        <f>HYPERLINK("https://pbs.twimg.com/profile_images/1070975762398892033/wDqxfiB7.jpg","View")</f>
        <v>View</v>
      </c>
    </row>
    <row r="1143" spans="1:21" ht="20.399999999999999">
      <c r="A1143" s="6">
        <v>43439.956701388888</v>
      </c>
      <c r="B1143" s="7" t="str">
        <f>HYPERLINK("https://twitter.com/zaragoza24horas","@zaragoza24horas")</f>
        <v>@zaragoza24horas</v>
      </c>
      <c r="C1143" s="8" t="s">
        <v>4689</v>
      </c>
      <c r="D1143" s="9" t="s">
        <v>2180</v>
      </c>
      <c r="E1143" s="10" t="str">
        <f>HYPERLINK("https://twitter.com/zaragoza24horas/status/1070437068218617856","1070437068218617856")</f>
        <v>1070437068218617856</v>
      </c>
      <c r="F1143" s="13" t="s">
        <v>4691</v>
      </c>
      <c r="G1143" s="13" t="s">
        <v>4693</v>
      </c>
      <c r="H1143" s="11"/>
      <c r="I1143" s="14">
        <v>0</v>
      </c>
      <c r="J1143" s="14">
        <v>0</v>
      </c>
      <c r="K1143" s="15" t="str">
        <f>HYPERLINK("https://dlvrit.com/","dlvr.it")</f>
        <v>dlvr.it</v>
      </c>
      <c r="L1143" s="14">
        <v>130</v>
      </c>
      <c r="M1143" s="14">
        <v>431</v>
      </c>
      <c r="N1143" s="14">
        <v>1</v>
      </c>
      <c r="O1143" s="16"/>
      <c r="P1143" s="6">
        <v>42882.750787037032</v>
      </c>
      <c r="Q1143" s="12" t="s">
        <v>2705</v>
      </c>
      <c r="R1143" s="17" t="s">
        <v>4694</v>
      </c>
      <c r="S1143" s="13" t="s">
        <v>4695</v>
      </c>
      <c r="T1143" s="11"/>
      <c r="U1143" s="10" t="str">
        <f>HYPERLINK("https://pbs.twimg.com/profile_images/868500195067219968/FVVW1uMh.jpg","View")</f>
        <v>View</v>
      </c>
    </row>
    <row r="1144" spans="1:21" ht="30.6">
      <c r="A1144" s="6">
        <v>43439.956053240741</v>
      </c>
      <c r="B1144" s="7" t="str">
        <f>HYPERLINK("https://twitter.com/GranCanariaTv","@GranCanariaTv")</f>
        <v>@GranCanariaTv</v>
      </c>
      <c r="C1144" s="8" t="s">
        <v>4697</v>
      </c>
      <c r="D1144" s="9" t="s">
        <v>4698</v>
      </c>
      <c r="E1144" s="10" t="str">
        <f>HYPERLINK("https://twitter.com/GranCanariaTv/status/1070436832666681350","1070436832666681350")</f>
        <v>1070436832666681350</v>
      </c>
      <c r="F1144" s="13" t="s">
        <v>4699</v>
      </c>
      <c r="G1144" s="11"/>
      <c r="H1144" s="11"/>
      <c r="I1144" s="14">
        <v>0</v>
      </c>
      <c r="J1144" s="14">
        <v>0</v>
      </c>
      <c r="K1144" s="15" t="str">
        <f t="shared" ref="K1144:K1146" si="242">HYPERLINK("http://twitter.com","Twitter Web Client")</f>
        <v>Twitter Web Client</v>
      </c>
      <c r="L1144" s="14">
        <v>5011</v>
      </c>
      <c r="M1144" s="14">
        <v>3353</v>
      </c>
      <c r="N1144" s="14">
        <v>99</v>
      </c>
      <c r="O1144" s="16"/>
      <c r="P1144" s="6">
        <v>40504.989155092597</v>
      </c>
      <c r="Q1144" s="12" t="s">
        <v>204</v>
      </c>
      <c r="R1144" s="17" t="s">
        <v>4700</v>
      </c>
      <c r="S1144" s="13" t="s">
        <v>4701</v>
      </c>
      <c r="T1144" s="11"/>
      <c r="U1144" s="10" t="str">
        <f>HYPERLINK("https://pbs.twimg.com/profile_images/728335785527758848/RP6AGTBc.jpg","View")</f>
        <v>View</v>
      </c>
    </row>
    <row r="1145" spans="1:21" ht="40.799999999999997">
      <c r="A1145" s="6">
        <v>43439.955185185187</v>
      </c>
      <c r="B1145" s="7" t="str">
        <f>HYPERLINK("https://twitter.com/Nuria_amb_seny","@Nuria_amb_seny")</f>
        <v>@Nuria_amb_seny</v>
      </c>
      <c r="C1145" s="8" t="s">
        <v>4702</v>
      </c>
      <c r="D1145" s="9" t="s">
        <v>4703</v>
      </c>
      <c r="E1145" s="10" t="str">
        <f>HYPERLINK("https://twitter.com/Nuria_amb_seny/status/1070436519847047174","1070436519847047174")</f>
        <v>1070436519847047174</v>
      </c>
      <c r="F1145" s="13" t="s">
        <v>2902</v>
      </c>
      <c r="G1145" s="11"/>
      <c r="H1145" s="11"/>
      <c r="I1145" s="14">
        <v>0</v>
      </c>
      <c r="J1145" s="14">
        <v>0</v>
      </c>
      <c r="K1145" s="15" t="str">
        <f t="shared" si="242"/>
        <v>Twitter Web Client</v>
      </c>
      <c r="L1145" s="14">
        <v>5156</v>
      </c>
      <c r="M1145" s="14">
        <v>3721</v>
      </c>
      <c r="N1145" s="14">
        <v>25</v>
      </c>
      <c r="O1145" s="16"/>
      <c r="P1145" s="6">
        <v>39939.011377314819</v>
      </c>
      <c r="Q1145" s="12" t="s">
        <v>4706</v>
      </c>
      <c r="R1145" s="17" t="s">
        <v>4707</v>
      </c>
      <c r="S1145" s="11"/>
      <c r="T1145" s="11"/>
      <c r="U1145" s="10" t="str">
        <f>HYPERLINK("https://pbs.twimg.com/profile_images/973277327290281986/xm47S6fy.jpg","View")</f>
        <v>View</v>
      </c>
    </row>
    <row r="1146" spans="1:21" ht="40.799999999999997">
      <c r="A1146" s="6">
        <v>43439.953981481478</v>
      </c>
      <c r="B1146" s="7" t="str">
        <f>HYPERLINK("https://twitter.com/The_Impert","@The_Impert")</f>
        <v>@The_Impert</v>
      </c>
      <c r="C1146" s="8" t="s">
        <v>4710</v>
      </c>
      <c r="D1146" s="9" t="s">
        <v>4711</v>
      </c>
      <c r="E1146" s="10" t="str">
        <f>HYPERLINK("https://twitter.com/The_Impert/status/1070436084117585920","1070436084117585920")</f>
        <v>1070436084117585920</v>
      </c>
      <c r="F1146" s="13" t="s">
        <v>4715</v>
      </c>
      <c r="G1146" s="11"/>
      <c r="H1146" s="11"/>
      <c r="I1146" s="14">
        <v>0</v>
      </c>
      <c r="J1146" s="14">
        <v>0</v>
      </c>
      <c r="K1146" s="15" t="str">
        <f t="shared" si="242"/>
        <v>Twitter Web Client</v>
      </c>
      <c r="L1146" s="14">
        <v>897</v>
      </c>
      <c r="M1146" s="14">
        <v>217</v>
      </c>
      <c r="N1146" s="14">
        <v>93</v>
      </c>
      <c r="O1146" s="16"/>
      <c r="P1146" s="6">
        <v>40688.701840277776</v>
      </c>
      <c r="Q1146" s="12" t="s">
        <v>4716</v>
      </c>
      <c r="R1146" s="17" t="s">
        <v>4717</v>
      </c>
      <c r="S1146" s="13" t="s">
        <v>4718</v>
      </c>
      <c r="T1146" s="11"/>
      <c r="U1146" s="10" t="str">
        <f>HYPERLINK("https://pbs.twimg.com/profile_images/2655499985/abb0cf5d13df926b0eede72021fe69ee.png","View")</f>
        <v>View</v>
      </c>
    </row>
    <row r="1147" spans="1:21" ht="20.399999999999999">
      <c r="A1147" s="6">
        <v>43439.952928240746</v>
      </c>
      <c r="B1147" s="7" t="str">
        <f>HYPERLINK("https://twitter.com/Tormentavideos","@Tormentavideos")</f>
        <v>@Tormentavideos</v>
      </c>
      <c r="C1147" s="8" t="s">
        <v>4721</v>
      </c>
      <c r="D1147" s="9" t="s">
        <v>4722</v>
      </c>
      <c r="E1147" s="10" t="str">
        <f>HYPERLINK("https://twitter.com/Tormentavideos/status/1070435700317843457","1070435700317843457")</f>
        <v>1070435700317843457</v>
      </c>
      <c r="F1147" s="11"/>
      <c r="G1147" s="11"/>
      <c r="H1147" s="11"/>
      <c r="I1147" s="14">
        <v>0</v>
      </c>
      <c r="J1147" s="14">
        <v>2</v>
      </c>
      <c r="K1147" s="15" t="str">
        <f t="shared" ref="K1147:K1148" si="243">HYPERLINK("http://twitter.com/#!/download/ipad","Twitter for iPad")</f>
        <v>Twitter for iPad</v>
      </c>
      <c r="L1147" s="14">
        <v>458</v>
      </c>
      <c r="M1147" s="14">
        <v>1726</v>
      </c>
      <c r="N1147" s="14">
        <v>2</v>
      </c>
      <c r="O1147" s="16"/>
      <c r="P1147" s="6">
        <v>43040.506828703699</v>
      </c>
      <c r="Q1147" s="12" t="s">
        <v>60</v>
      </c>
      <c r="R1147" s="17" t="s">
        <v>4724</v>
      </c>
      <c r="S1147" s="13" t="s">
        <v>4725</v>
      </c>
      <c r="T1147" s="11"/>
      <c r="U1147" s="10" t="str">
        <f>HYPERLINK("https://pbs.twimg.com/profile_images/925682426139086849/jMMKbDpS.jpg","View")</f>
        <v>View</v>
      </c>
    </row>
    <row r="1148" spans="1:21" ht="61.2">
      <c r="A1148" s="6">
        <v>43439.95149305556</v>
      </c>
      <c r="B1148" s="7" t="str">
        <f>HYPERLINK("https://twitter.com/HispaniaFortius","@HispaniaFortius")</f>
        <v>@HispaniaFortius</v>
      </c>
      <c r="C1148" s="8" t="s">
        <v>3968</v>
      </c>
      <c r="D1148" s="9" t="s">
        <v>3969</v>
      </c>
      <c r="E1148" s="10" t="str">
        <f>HYPERLINK("https://twitter.com/HispaniaFortius/status/1070435180098347009","1070435180098347009")</f>
        <v>1070435180098347009</v>
      </c>
      <c r="F1148" s="12" t="s">
        <v>1244</v>
      </c>
      <c r="G1148" s="11"/>
      <c r="H1148" s="11"/>
      <c r="I1148" s="14">
        <v>9</v>
      </c>
      <c r="J1148" s="14">
        <v>9</v>
      </c>
      <c r="K1148" s="15" t="str">
        <f t="shared" si="243"/>
        <v>Twitter for iPad</v>
      </c>
      <c r="L1148" s="14">
        <v>4830</v>
      </c>
      <c r="M1148" s="14">
        <v>3180</v>
      </c>
      <c r="N1148" s="14">
        <v>25</v>
      </c>
      <c r="O1148" s="16"/>
      <c r="P1148" s="6">
        <v>42705.48436342593</v>
      </c>
      <c r="Q1148" s="12" t="s">
        <v>3971</v>
      </c>
      <c r="R1148" s="17" t="s">
        <v>3972</v>
      </c>
      <c r="S1148" s="13" t="s">
        <v>3973</v>
      </c>
      <c r="T1148" s="11"/>
      <c r="U1148" s="10" t="str">
        <f>HYPERLINK("https://pbs.twimg.com/profile_images/1046663897560829952/eNO1bPMq.jpg","View")</f>
        <v>View</v>
      </c>
    </row>
    <row r="1149" spans="1:21" ht="13.2">
      <c r="A1149" s="6">
        <v>43439.950729166667</v>
      </c>
      <c r="B1149" s="7" t="str">
        <f>HYPERLINK("https://twitter.com/DIEGO_LOPA","@DIEGO_LOPA")</f>
        <v>@DIEGO_LOPA</v>
      </c>
      <c r="C1149" s="8" t="s">
        <v>4729</v>
      </c>
      <c r="D1149" s="9" t="s">
        <v>4730</v>
      </c>
      <c r="E1149" s="10" t="str">
        <f>HYPERLINK("https://twitter.com/DIEGO_LOPA/status/1070434905228763136","1070434905228763136")</f>
        <v>1070434905228763136</v>
      </c>
      <c r="F1149" s="11"/>
      <c r="G1149" s="11"/>
      <c r="H1149" s="11"/>
      <c r="I1149" s="14">
        <v>0</v>
      </c>
      <c r="J1149" s="14">
        <v>1</v>
      </c>
      <c r="K1149" s="15" t="str">
        <f t="shared" ref="K1149:K1152" si="244">HYPERLINK("http://twitter.com/download/android","Twitter for Android")</f>
        <v>Twitter for Android</v>
      </c>
      <c r="L1149" s="14">
        <v>474</v>
      </c>
      <c r="M1149" s="14">
        <v>367</v>
      </c>
      <c r="N1149" s="14">
        <v>1</v>
      </c>
      <c r="O1149" s="16"/>
      <c r="P1149" s="6">
        <v>41105.808217592596</v>
      </c>
      <c r="Q1149" s="12" t="s">
        <v>4731</v>
      </c>
      <c r="R1149" s="17" t="s">
        <v>4732</v>
      </c>
      <c r="S1149" s="13" t="s">
        <v>4733</v>
      </c>
      <c r="T1149" s="11"/>
      <c r="U1149" s="10" t="str">
        <f>HYPERLINK("https://pbs.twimg.com/profile_images/1069130369885224960/-QLVGbB6.jpg","View")</f>
        <v>View</v>
      </c>
    </row>
    <row r="1150" spans="1:21" ht="51">
      <c r="A1150" s="6">
        <v>43439.950636574074</v>
      </c>
      <c r="B1150" s="7" t="str">
        <f>HYPERLINK("https://twitter.com/juluniver","@juluniver")</f>
        <v>@juluniver</v>
      </c>
      <c r="C1150" s="8" t="s">
        <v>544</v>
      </c>
      <c r="D1150" s="9" t="s">
        <v>3974</v>
      </c>
      <c r="E1150" s="10" t="str">
        <f>HYPERLINK("https://twitter.com/juluniver/status/1070434872118915072","1070434872118915072")</f>
        <v>1070434872118915072</v>
      </c>
      <c r="F1150" s="13" t="s">
        <v>3975</v>
      </c>
      <c r="G1150" s="11"/>
      <c r="H1150" s="11"/>
      <c r="I1150" s="14">
        <v>0</v>
      </c>
      <c r="J1150" s="14">
        <v>0</v>
      </c>
      <c r="K1150" s="15" t="str">
        <f t="shared" si="244"/>
        <v>Twitter for Android</v>
      </c>
      <c r="L1150" s="14">
        <v>143</v>
      </c>
      <c r="M1150" s="14">
        <v>91</v>
      </c>
      <c r="N1150" s="14">
        <v>2</v>
      </c>
      <c r="O1150" s="16"/>
      <c r="P1150" s="6">
        <v>42166.543541666666</v>
      </c>
      <c r="Q1150" s="12" t="s">
        <v>551</v>
      </c>
      <c r="R1150" s="17" t="s">
        <v>553</v>
      </c>
      <c r="S1150" s="11"/>
      <c r="T1150" s="11"/>
      <c r="U1150" s="10" t="str">
        <f>HYPERLINK("https://pbs.twimg.com/profile_images/847880241892777992/Krxx7fp-.jpg","View")</f>
        <v>View</v>
      </c>
    </row>
    <row r="1151" spans="1:21" ht="30.6">
      <c r="A1151" s="6">
        <v>43439.946689814809</v>
      </c>
      <c r="B1151" s="7" t="str">
        <f>HYPERLINK("https://twitter.com/GquirogaGonzalo","@GquirogaGonzalo")</f>
        <v>@GquirogaGonzalo</v>
      </c>
      <c r="C1151" s="8" t="s">
        <v>4736</v>
      </c>
      <c r="D1151" s="9" t="s">
        <v>4737</v>
      </c>
      <c r="E1151" s="10" t="str">
        <f>HYPERLINK("https://twitter.com/GquirogaGonzalo/status/1070433440791756801","1070433440791756801")</f>
        <v>1070433440791756801</v>
      </c>
      <c r="F1151" s="11"/>
      <c r="G1151" s="11"/>
      <c r="H1151" s="11"/>
      <c r="I1151" s="14">
        <v>7</v>
      </c>
      <c r="J1151" s="14">
        <v>6</v>
      </c>
      <c r="K1151" s="15" t="str">
        <f t="shared" si="244"/>
        <v>Twitter for Android</v>
      </c>
      <c r="L1151" s="14">
        <v>2865</v>
      </c>
      <c r="M1151" s="14">
        <v>5001</v>
      </c>
      <c r="N1151" s="14">
        <v>31</v>
      </c>
      <c r="O1151" s="16"/>
      <c r="P1151" s="6">
        <v>41614.554907407408</v>
      </c>
      <c r="Q1151" s="11"/>
      <c r="R1151" s="17" t="s">
        <v>4738</v>
      </c>
      <c r="S1151" s="11"/>
      <c r="T1151" s="11"/>
      <c r="U1151" s="10" t="str">
        <f>HYPERLINK("https://pbs.twimg.com/profile_images/928029513669332992/h42Zg1ls.jpg","View")</f>
        <v>View</v>
      </c>
    </row>
    <row r="1152" spans="1:21" ht="30.6">
      <c r="A1152" s="6">
        <v>43439.945127314815</v>
      </c>
      <c r="B1152" s="7" t="str">
        <f>HYPERLINK("https://twitter.com/qqqqetru","@qqqqetru")</f>
        <v>@qqqqetru</v>
      </c>
      <c r="C1152" s="8" t="s">
        <v>2649</v>
      </c>
      <c r="D1152" s="9" t="s">
        <v>4742</v>
      </c>
      <c r="E1152" s="10" t="str">
        <f>HYPERLINK("https://twitter.com/qqqqetru/status/1070432875298856962","1070432875298856962")</f>
        <v>1070432875298856962</v>
      </c>
      <c r="F1152" s="11"/>
      <c r="G1152" s="11"/>
      <c r="H1152" s="11"/>
      <c r="I1152" s="14">
        <v>12</v>
      </c>
      <c r="J1152" s="14">
        <v>31</v>
      </c>
      <c r="K1152" s="15" t="str">
        <f t="shared" si="244"/>
        <v>Twitter for Android</v>
      </c>
      <c r="L1152" s="14">
        <v>649</v>
      </c>
      <c r="M1152" s="14">
        <v>1194</v>
      </c>
      <c r="N1152" s="14">
        <v>2</v>
      </c>
      <c r="O1152" s="16"/>
      <c r="P1152" s="6">
        <v>40749.437719907408</v>
      </c>
      <c r="Q1152" s="11"/>
      <c r="R1152" s="18"/>
      <c r="S1152" s="11"/>
      <c r="T1152" s="11"/>
      <c r="U1152" s="10" t="str">
        <f>HYPERLINK("https://pbs.twimg.com/profile_images/1069734331780870144/d_KYpBFy.jpg","View")</f>
        <v>View</v>
      </c>
    </row>
    <row r="1153" spans="1:21" ht="30.6">
      <c r="A1153" s="6">
        <v>43439.944756944446</v>
      </c>
      <c r="B1153" s="7" t="str">
        <f>HYPERLINK("https://twitter.com/miguel_delarosa","@miguel_delarosa")</f>
        <v>@miguel_delarosa</v>
      </c>
      <c r="C1153" s="8" t="s">
        <v>3976</v>
      </c>
      <c r="D1153" s="9" t="s">
        <v>3977</v>
      </c>
      <c r="E1153" s="10" t="str">
        <f>HYPERLINK("https://twitter.com/miguel_delarosa/status/1070432739042750464","1070432739042750464")</f>
        <v>1070432739042750464</v>
      </c>
      <c r="F1153" s="11"/>
      <c r="G1153" s="13" t="s">
        <v>779</v>
      </c>
      <c r="H1153" s="11"/>
      <c r="I1153" s="14">
        <v>180</v>
      </c>
      <c r="J1153" s="14">
        <v>159</v>
      </c>
      <c r="K1153" s="15" t="str">
        <f>HYPERLINK("http://twitter.com/download/iphone","Twitter for iPhone")</f>
        <v>Twitter for iPhone</v>
      </c>
      <c r="L1153" s="14">
        <v>7153</v>
      </c>
      <c r="M1153" s="14">
        <v>4653</v>
      </c>
      <c r="N1153" s="14">
        <v>117</v>
      </c>
      <c r="O1153" s="16"/>
      <c r="P1153" s="6">
        <v>40223.789398148147</v>
      </c>
      <c r="Q1153" s="12" t="s">
        <v>3978</v>
      </c>
      <c r="R1153" s="17" t="s">
        <v>3979</v>
      </c>
      <c r="S1153" s="13" t="s">
        <v>3980</v>
      </c>
      <c r="T1153" s="11"/>
      <c r="U1153" s="10" t="str">
        <f>HYPERLINK("https://pbs.twimg.com/profile_images/1069404348583682048/-eUTnG_7.jpg","View")</f>
        <v>View</v>
      </c>
    </row>
    <row r="1154" spans="1:21" ht="40.799999999999997">
      <c r="A1154" s="6">
        <v>43439.944710648153</v>
      </c>
      <c r="B1154" s="7" t="str">
        <f>HYPERLINK("https://twitter.com/raqle78","@raqle78")</f>
        <v>@raqle78</v>
      </c>
      <c r="C1154" s="8" t="s">
        <v>4747</v>
      </c>
      <c r="D1154" s="9" t="s">
        <v>4748</v>
      </c>
      <c r="E1154" s="10" t="str">
        <f>HYPERLINK("https://twitter.com/raqle78/status/1070432724320579584","1070432724320579584")</f>
        <v>1070432724320579584</v>
      </c>
      <c r="F1154" s="11"/>
      <c r="G1154" s="11"/>
      <c r="H1154" s="11"/>
      <c r="I1154" s="14">
        <v>0</v>
      </c>
      <c r="J1154" s="14">
        <v>0</v>
      </c>
      <c r="K1154" s="15" t="str">
        <f>HYPERLINK("http://twitter.com","Twitter Web Client")</f>
        <v>Twitter Web Client</v>
      </c>
      <c r="L1154" s="14">
        <v>416</v>
      </c>
      <c r="M1154" s="14">
        <v>378</v>
      </c>
      <c r="N1154" s="14">
        <v>4</v>
      </c>
      <c r="O1154" s="16"/>
      <c r="P1154" s="6">
        <v>41706.900995370372</v>
      </c>
      <c r="Q1154" s="11"/>
      <c r="R1154" s="17" t="s">
        <v>4751</v>
      </c>
      <c r="S1154" s="11"/>
      <c r="T1154" s="11"/>
      <c r="U1154" s="10" t="str">
        <f>HYPERLINK("https://pbs.twimg.com/profile_images/1039105276396417024/6p_E0QV5.jpg","View")</f>
        <v>View</v>
      </c>
    </row>
    <row r="1155" spans="1:21" ht="40.799999999999997">
      <c r="A1155" s="6">
        <v>43439.944340277776</v>
      </c>
      <c r="B1155" s="7" t="str">
        <f>HYPERLINK("https://twitter.com/La_Cerca","@La_Cerca")</f>
        <v>@La_Cerca</v>
      </c>
      <c r="C1155" s="8" t="s">
        <v>2743</v>
      </c>
      <c r="D1155" s="9" t="s">
        <v>3981</v>
      </c>
      <c r="E1155" s="10" t="str">
        <f>HYPERLINK("https://twitter.com/La_Cerca/status/1070432589431881729","1070432589431881729")</f>
        <v>1070432589431881729</v>
      </c>
      <c r="F1155" s="13" t="s">
        <v>3982</v>
      </c>
      <c r="G1155" s="11"/>
      <c r="H1155" s="11"/>
      <c r="I1155" s="14">
        <v>0</v>
      </c>
      <c r="J1155" s="14">
        <v>1</v>
      </c>
      <c r="K1155" s="15" t="str">
        <f>HYPERLINK("http://www.lacerca.com","La Cerca")</f>
        <v>La Cerca</v>
      </c>
      <c r="L1155" s="14">
        <v>18980</v>
      </c>
      <c r="M1155" s="14">
        <v>4970</v>
      </c>
      <c r="N1155" s="14">
        <v>337</v>
      </c>
      <c r="O1155" s="19" t="s">
        <v>42</v>
      </c>
      <c r="P1155" s="6">
        <v>40007.429652777777</v>
      </c>
      <c r="Q1155" s="12" t="s">
        <v>2255</v>
      </c>
      <c r="R1155" s="17" t="s">
        <v>2746</v>
      </c>
      <c r="S1155" s="13" t="s">
        <v>2747</v>
      </c>
      <c r="T1155" s="11"/>
      <c r="U1155" s="10" t="str">
        <f>HYPERLINK("https://pbs.twimg.com/profile_images/1046758213843111937/MFsiNfy0.jpg","View")</f>
        <v>View</v>
      </c>
    </row>
    <row r="1156" spans="1:21" ht="30.6">
      <c r="A1156" s="6">
        <v>43439.94332175926</v>
      </c>
      <c r="B1156" s="7" t="str">
        <f>HYPERLINK("https://twitter.com/CsHortaGuinardo","@CsHortaGuinardo")</f>
        <v>@CsHortaGuinardo</v>
      </c>
      <c r="C1156" s="8" t="s">
        <v>3983</v>
      </c>
      <c r="D1156" s="9" t="s">
        <v>3984</v>
      </c>
      <c r="E1156" s="10" t="str">
        <f>HYPERLINK("https://twitter.com/CsHortaGuinardo/status/1070432221385904129","1070432221385904129")</f>
        <v>1070432221385904129</v>
      </c>
      <c r="F1156" s="11"/>
      <c r="G1156" s="13" t="s">
        <v>3985</v>
      </c>
      <c r="H1156" s="11"/>
      <c r="I1156" s="14">
        <v>9</v>
      </c>
      <c r="J1156" s="14">
        <v>12</v>
      </c>
      <c r="K1156" s="15" t="str">
        <f>HYPERLINK("http://twitter.com/download/android","Twitter for Android")</f>
        <v>Twitter for Android</v>
      </c>
      <c r="L1156" s="14">
        <v>2357</v>
      </c>
      <c r="M1156" s="14">
        <v>1279</v>
      </c>
      <c r="N1156" s="14">
        <v>56</v>
      </c>
      <c r="O1156" s="16"/>
      <c r="P1156" s="6">
        <v>41047.766273148147</v>
      </c>
      <c r="Q1156" s="12" t="s">
        <v>2228</v>
      </c>
      <c r="R1156" s="17" t="s">
        <v>3986</v>
      </c>
      <c r="S1156" s="13" t="s">
        <v>452</v>
      </c>
      <c r="T1156" s="11"/>
      <c r="U1156" s="10" t="str">
        <f>HYPERLINK("https://pbs.twimg.com/profile_images/906263821634985985/BzE7Blkp.png","View")</f>
        <v>View</v>
      </c>
    </row>
    <row r="1157" spans="1:21" ht="91.8">
      <c r="A1157" s="6">
        <v>43439.941863425927</v>
      </c>
      <c r="B1157" s="7" t="str">
        <f>HYPERLINK("https://twitter.com/AdanEsmit","@AdanEsmit")</f>
        <v>@AdanEsmit</v>
      </c>
      <c r="C1157" s="8" t="s">
        <v>3987</v>
      </c>
      <c r="D1157" s="9" t="s">
        <v>3988</v>
      </c>
      <c r="E1157" s="10" t="str">
        <f>HYPERLINK("https://twitter.com/AdanEsmit/status/1070431689674055681","1070431689674055681")</f>
        <v>1070431689674055681</v>
      </c>
      <c r="F1157" s="13" t="s">
        <v>3990</v>
      </c>
      <c r="G1157" s="13" t="s">
        <v>3991</v>
      </c>
      <c r="H1157" s="11"/>
      <c r="I1157" s="14">
        <v>0</v>
      </c>
      <c r="J1157" s="14">
        <v>0</v>
      </c>
      <c r="K1157" s="15" t="str">
        <f>HYPERLINK("http://twitter.com/#!/download/ipad","Twitter for iPad")</f>
        <v>Twitter for iPad</v>
      </c>
      <c r="L1157" s="14">
        <v>2128</v>
      </c>
      <c r="M1157" s="14">
        <v>617</v>
      </c>
      <c r="N1157" s="14">
        <v>53</v>
      </c>
      <c r="O1157" s="16"/>
      <c r="P1157" s="6">
        <v>40419.805937500001</v>
      </c>
      <c r="Q1157" s="12" t="s">
        <v>3995</v>
      </c>
      <c r="R1157" s="17" t="s">
        <v>3996</v>
      </c>
      <c r="S1157" s="13" t="s">
        <v>3997</v>
      </c>
      <c r="T1157" s="11"/>
      <c r="U1157" s="10" t="str">
        <f>HYPERLINK("https://pbs.twimg.com/profile_images/1050368398893477889/K4vZp_8d.jpg","View")</f>
        <v>View</v>
      </c>
    </row>
    <row r="1158" spans="1:21" ht="20.399999999999999">
      <c r="A1158" s="6">
        <v>43439.94158564815</v>
      </c>
      <c r="B1158" s="7" t="str">
        <f>HYPERLINK("https://twitter.com/Jacobo7elbobo","@Jacobo7elbobo")</f>
        <v>@Jacobo7elbobo</v>
      </c>
      <c r="C1158" s="8" t="s">
        <v>4761</v>
      </c>
      <c r="D1158" s="9" t="s">
        <v>4065</v>
      </c>
      <c r="E1158" s="10" t="str">
        <f>HYPERLINK("https://twitter.com/Jacobo7elbobo/status/1070431589220446211","1070431589220446211")</f>
        <v>1070431589220446211</v>
      </c>
      <c r="F1158" s="13" t="s">
        <v>3869</v>
      </c>
      <c r="G1158" s="11"/>
      <c r="H1158" s="11"/>
      <c r="I1158" s="14">
        <v>2</v>
      </c>
      <c r="J1158" s="14">
        <v>3</v>
      </c>
      <c r="K1158" s="15" t="str">
        <f>HYPERLINK("http://twitter.com","Twitter Web Client")</f>
        <v>Twitter Web Client</v>
      </c>
      <c r="L1158" s="14">
        <v>5561</v>
      </c>
      <c r="M1158" s="14">
        <v>5286</v>
      </c>
      <c r="N1158" s="14">
        <v>8</v>
      </c>
      <c r="O1158" s="16"/>
      <c r="P1158" s="6">
        <v>42315.993460648147</v>
      </c>
      <c r="Q1158" s="12" t="s">
        <v>4764</v>
      </c>
      <c r="R1158" s="17" t="s">
        <v>4765</v>
      </c>
      <c r="S1158" s="11"/>
      <c r="T1158" s="11"/>
      <c r="U1158" s="10" t="str">
        <f>HYPERLINK("https://pbs.twimg.com/profile_images/972809079289675776/alLBdem6.jpg","View")</f>
        <v>View</v>
      </c>
    </row>
    <row r="1159" spans="1:21" ht="51">
      <c r="A1159" s="6">
        <v>43439.941365740742</v>
      </c>
      <c r="B1159" s="7" t="str">
        <f>HYPERLINK("https://twitter.com/Realidazando","@Realidazando")</f>
        <v>@Realidazando</v>
      </c>
      <c r="C1159" s="8" t="s">
        <v>3999</v>
      </c>
      <c r="D1159" s="9" t="s">
        <v>4000</v>
      </c>
      <c r="E1159" s="10" t="str">
        <f>HYPERLINK("https://twitter.com/Realidazando/status/1070431512351334400","1070431512351334400")</f>
        <v>1070431512351334400</v>
      </c>
      <c r="F1159" s="12" t="s">
        <v>4001</v>
      </c>
      <c r="G1159" s="11"/>
      <c r="H1159" s="11"/>
      <c r="I1159" s="14">
        <v>1</v>
      </c>
      <c r="J1159" s="14">
        <v>0</v>
      </c>
      <c r="K1159" s="15" t="str">
        <f>HYPERLINK("http://twitter.com/download/iphone","Twitter for iPhone")</f>
        <v>Twitter for iPhone</v>
      </c>
      <c r="L1159" s="14">
        <v>1431</v>
      </c>
      <c r="M1159" s="14">
        <v>1574</v>
      </c>
      <c r="N1159" s="14">
        <v>4</v>
      </c>
      <c r="O1159" s="16"/>
      <c r="P1159" s="6">
        <v>42877.47755787037</v>
      </c>
      <c r="Q1159" s="11"/>
      <c r="R1159" s="17" t="s">
        <v>4003</v>
      </c>
      <c r="S1159" s="11"/>
      <c r="T1159" s="11"/>
      <c r="U1159" s="10" t="str">
        <f>HYPERLINK("https://pbs.twimg.com/profile_images/1023845303810760704/TKAqLstU.jpg","View")</f>
        <v>View</v>
      </c>
    </row>
    <row r="1160" spans="1:21" ht="40.799999999999997">
      <c r="A1160" s="6">
        <v>43439.940358796295</v>
      </c>
      <c r="B1160" s="7" t="str">
        <f>HYPERLINK("https://twitter.com/NoticiasVenezue","@NoticiasVenezue")</f>
        <v>@NoticiasVenezue</v>
      </c>
      <c r="C1160" s="8" t="s">
        <v>4494</v>
      </c>
      <c r="D1160" s="9" t="s">
        <v>4495</v>
      </c>
      <c r="E1160" s="10" t="str">
        <f>HYPERLINK("https://twitter.com/NoticiasVenezue/status/1070431145995714560","1070431145995714560")</f>
        <v>1070431145995714560</v>
      </c>
      <c r="F1160" s="13" t="s">
        <v>4770</v>
      </c>
      <c r="G1160" s="13" t="s">
        <v>4771</v>
      </c>
      <c r="H1160" s="11"/>
      <c r="I1160" s="14">
        <v>2</v>
      </c>
      <c r="J1160" s="14">
        <v>0</v>
      </c>
      <c r="K1160" s="15" t="str">
        <f>HYPERLINK("http://noticiasvenezuela.org/","Noticiasvenezuela.org")</f>
        <v>Noticiasvenezuela.org</v>
      </c>
      <c r="L1160" s="14">
        <v>849965</v>
      </c>
      <c r="M1160" s="14">
        <v>107845</v>
      </c>
      <c r="N1160" s="14">
        <v>4005</v>
      </c>
      <c r="O1160" s="19" t="s">
        <v>42</v>
      </c>
      <c r="P1160" s="6">
        <v>39960.368576388893</v>
      </c>
      <c r="Q1160" s="12" t="s">
        <v>4498</v>
      </c>
      <c r="R1160" s="17" t="s">
        <v>4499</v>
      </c>
      <c r="S1160" s="13" t="s">
        <v>4500</v>
      </c>
      <c r="T1160" s="11"/>
      <c r="U1160" s="10" t="str">
        <f>HYPERLINK("https://pbs.twimg.com/profile_images/1051102549061849088/xDOWgbtI.jpg","View")</f>
        <v>View</v>
      </c>
    </row>
    <row r="1161" spans="1:21" ht="61.2">
      <c r="A1161" s="6">
        <v>43439.939004629632</v>
      </c>
      <c r="B1161" s="7" t="str">
        <f>HYPERLINK("https://twitter.com/samuel_alves5","@samuel_alves5")</f>
        <v>@samuel_alves5</v>
      </c>
      <c r="C1161" s="8" t="s">
        <v>4004</v>
      </c>
      <c r="D1161" s="9" t="s">
        <v>4005</v>
      </c>
      <c r="E1161" s="10" t="str">
        <f>HYPERLINK("https://twitter.com/samuel_alves5/status/1070430656566648832","1070430656566648832")</f>
        <v>1070430656566648832</v>
      </c>
      <c r="F1161" s="11"/>
      <c r="G1161" s="13" t="s">
        <v>4006</v>
      </c>
      <c r="H1161" s="11"/>
      <c r="I1161" s="14">
        <v>0</v>
      </c>
      <c r="J1161" s="14">
        <v>1</v>
      </c>
      <c r="K1161" s="15" t="str">
        <f>HYPERLINK("http://twitter.com/download/iphone","Twitter for iPhone")</f>
        <v>Twitter for iPhone</v>
      </c>
      <c r="L1161" s="14">
        <v>128</v>
      </c>
      <c r="M1161" s="14">
        <v>302</v>
      </c>
      <c r="N1161" s="14">
        <v>0</v>
      </c>
      <c r="O1161" s="16"/>
      <c r="P1161" s="6">
        <v>41150.979363425926</v>
      </c>
      <c r="Q1161" s="11"/>
      <c r="R1161" s="17" t="s">
        <v>4007</v>
      </c>
      <c r="S1161" s="11"/>
      <c r="T1161" s="11"/>
      <c r="U1161" s="10" t="str">
        <f>HYPERLINK("https://pbs.twimg.com/profile_images/2556989422/osteopatia2.jpg","View")</f>
        <v>View</v>
      </c>
    </row>
    <row r="1162" spans="1:21" ht="102">
      <c r="A1162" s="6">
        <v>43439.937905092593</v>
      </c>
      <c r="B1162" s="7" t="str">
        <f>HYPERLINK("https://twitter.com/MaeseLeiva","@MaeseLeiva")</f>
        <v>@MaeseLeiva</v>
      </c>
      <c r="C1162" s="8" t="s">
        <v>2757</v>
      </c>
      <c r="D1162" s="9" t="s">
        <v>4008</v>
      </c>
      <c r="E1162" s="10" t="str">
        <f>HYPERLINK("https://twitter.com/MaeseLeiva/status/1070430255427534849","1070430255427534849")</f>
        <v>1070430255427534849</v>
      </c>
      <c r="F1162" s="13" t="s">
        <v>2056</v>
      </c>
      <c r="G1162" s="13" t="s">
        <v>2057</v>
      </c>
      <c r="H1162" s="11"/>
      <c r="I1162" s="14">
        <v>0</v>
      </c>
      <c r="J1162" s="14">
        <v>0</v>
      </c>
      <c r="K1162" s="15" t="str">
        <f t="shared" ref="K1162:K1163" si="245">HYPERLINK("http://twitter.com/download/android","Twitter for Android")</f>
        <v>Twitter for Android</v>
      </c>
      <c r="L1162" s="14">
        <v>207</v>
      </c>
      <c r="M1162" s="14">
        <v>740</v>
      </c>
      <c r="N1162" s="14">
        <v>1</v>
      </c>
      <c r="O1162" s="16"/>
      <c r="P1162" s="6">
        <v>40594.823287037041</v>
      </c>
      <c r="Q1162" s="12" t="s">
        <v>83</v>
      </c>
      <c r="R1162" s="18"/>
      <c r="S1162" s="11"/>
      <c r="T1162" s="11"/>
      <c r="U1162" s="10" t="str">
        <f>HYPERLINK("https://pbs.twimg.com/profile_images/1294529338/Perfil.jpg","View")</f>
        <v>View</v>
      </c>
    </row>
    <row r="1163" spans="1:21" ht="61.2">
      <c r="A1163" s="6">
        <v>43439.937615740739</v>
      </c>
      <c r="B1163" s="7" t="str">
        <f>HYPERLINK("https://twitter.com/DeltaSierra__","@DeltaSierra__")</f>
        <v>@DeltaSierra__</v>
      </c>
      <c r="C1163" s="8" t="s">
        <v>4009</v>
      </c>
      <c r="D1163" s="9" t="s">
        <v>4010</v>
      </c>
      <c r="E1163" s="10" t="str">
        <f>HYPERLINK("https://twitter.com/DeltaSierra__/status/1070430153904402433","1070430153904402433")</f>
        <v>1070430153904402433</v>
      </c>
      <c r="F1163" s="13" t="s">
        <v>2056</v>
      </c>
      <c r="G1163" s="13" t="s">
        <v>2057</v>
      </c>
      <c r="H1163" s="11"/>
      <c r="I1163" s="14">
        <v>0</v>
      </c>
      <c r="J1163" s="14">
        <v>0</v>
      </c>
      <c r="K1163" s="15" t="str">
        <f t="shared" si="245"/>
        <v>Twitter for Android</v>
      </c>
      <c r="L1163" s="14">
        <v>152</v>
      </c>
      <c r="M1163" s="14">
        <v>463</v>
      </c>
      <c r="N1163" s="14">
        <v>9</v>
      </c>
      <c r="O1163" s="16"/>
      <c r="P1163" s="6">
        <v>40780.556469907409</v>
      </c>
      <c r="Q1163" s="12" t="s">
        <v>1121</v>
      </c>
      <c r="R1163" s="17" t="s">
        <v>4012</v>
      </c>
      <c r="S1163" s="11"/>
      <c r="T1163" s="11"/>
      <c r="U1163" s="10" t="str">
        <f>HYPERLINK("https://pbs.twimg.com/profile_images/919178170989006850/1q-2Gx2V.jpg","View")</f>
        <v>View</v>
      </c>
    </row>
    <row r="1164" spans="1:21" ht="40.799999999999997">
      <c r="A1164" s="6">
        <v>43439.937581018516</v>
      </c>
      <c r="B1164" s="7" t="str">
        <f>HYPERLINK("https://twitter.com/lextresabogados","@lextresabogados")</f>
        <v>@lextresabogados</v>
      </c>
      <c r="C1164" s="8" t="s">
        <v>26</v>
      </c>
      <c r="D1164" s="9" t="s">
        <v>4279</v>
      </c>
      <c r="E1164" s="10" t="str">
        <f>HYPERLINK("https://twitter.com/lextresabogados/status/1070430141392793607","1070430141392793607")</f>
        <v>1070430141392793607</v>
      </c>
      <c r="F1164" s="13" t="s">
        <v>4023</v>
      </c>
      <c r="G1164" s="13" t="s">
        <v>4780</v>
      </c>
      <c r="H1164" s="11"/>
      <c r="I1164" s="14">
        <v>0</v>
      </c>
      <c r="J1164" s="14">
        <v>0</v>
      </c>
      <c r="K1164" s="15" t="str">
        <f>HYPERLINK("http://35.180.36.179","botize nueva")</f>
        <v>botize nueva</v>
      </c>
      <c r="L1164" s="14">
        <v>2912</v>
      </c>
      <c r="M1164" s="14">
        <v>3525</v>
      </c>
      <c r="N1164" s="14">
        <v>26</v>
      </c>
      <c r="O1164" s="16"/>
      <c r="P1164" s="6">
        <v>42880.770949074074</v>
      </c>
      <c r="Q1164" s="12" t="s">
        <v>35</v>
      </c>
      <c r="R1164" s="17" t="s">
        <v>36</v>
      </c>
      <c r="S1164" s="13" t="s">
        <v>37</v>
      </c>
      <c r="T1164" s="11"/>
      <c r="U1164" s="10" t="str">
        <f>HYPERLINK("https://pbs.twimg.com/profile_images/1068056978679898113/YnjKwiVy.jpg","View")</f>
        <v>View</v>
      </c>
    </row>
    <row r="1165" spans="1:21" ht="30.6">
      <c r="A1165" s="6">
        <v>43439.937523148154</v>
      </c>
      <c r="B1165" s="7" t="str">
        <f>HYPERLINK("https://twitter.com/AsunAlvarez01","@AsunAlvarez01")</f>
        <v>@AsunAlvarez01</v>
      </c>
      <c r="C1165" s="8" t="s">
        <v>4782</v>
      </c>
      <c r="D1165" s="9" t="s">
        <v>4783</v>
      </c>
      <c r="E1165" s="10" t="str">
        <f>HYPERLINK("https://twitter.com/AsunAlvarez01/status/1070430117304913920","1070430117304913920")</f>
        <v>1070430117304913920</v>
      </c>
      <c r="F1165" s="13" t="s">
        <v>4786</v>
      </c>
      <c r="G1165" s="11"/>
      <c r="H1165" s="11"/>
      <c r="I1165" s="14">
        <v>0</v>
      </c>
      <c r="J1165" s="14">
        <v>0</v>
      </c>
      <c r="K1165" s="15" t="str">
        <f>HYPERLINK("http://twitter.com/download/iphone","Twitter for iPhone")</f>
        <v>Twitter for iPhone</v>
      </c>
      <c r="L1165" s="14">
        <v>226</v>
      </c>
      <c r="M1165" s="14">
        <v>562</v>
      </c>
      <c r="N1165" s="14">
        <v>3</v>
      </c>
      <c r="O1165" s="16"/>
      <c r="P1165" s="6">
        <v>40632.355983796297</v>
      </c>
      <c r="Q1165" s="11"/>
      <c r="R1165" s="17" t="s">
        <v>4787</v>
      </c>
      <c r="S1165" s="11"/>
      <c r="T1165" s="11"/>
      <c r="U1165" s="10" t="str">
        <f>HYPERLINK("https://pbs.twimg.com/profile_images/2202183306/image.jpg","View")</f>
        <v>View</v>
      </c>
    </row>
    <row r="1166" spans="1:21" ht="30.6">
      <c r="A1166" s="6">
        <v>43439.9375</v>
      </c>
      <c r="B1166" s="7" t="str">
        <f>HYPERLINK("https://twitter.com/redaccionmedica","@redaccionmedica")</f>
        <v>@redaccionmedica</v>
      </c>
      <c r="C1166" s="8" t="s">
        <v>4013</v>
      </c>
      <c r="D1166" s="9" t="s">
        <v>4014</v>
      </c>
      <c r="E1166" s="10" t="str">
        <f>HYPERLINK("https://twitter.com/redaccionmedica/status/1070430110564605952","1070430110564605952")</f>
        <v>1070430110564605952</v>
      </c>
      <c r="F1166" s="13" t="s">
        <v>4015</v>
      </c>
      <c r="G1166" s="13" t="s">
        <v>4016</v>
      </c>
      <c r="H1166" s="11"/>
      <c r="I1166" s="14">
        <v>0</v>
      </c>
      <c r="J1166" s="14">
        <v>0</v>
      </c>
      <c r="K1166" s="15" t="str">
        <f>HYPERLINK("https://about.twitter.com/products/tweetdeck","TweetDeck")</f>
        <v>TweetDeck</v>
      </c>
      <c r="L1166" s="14">
        <v>63707</v>
      </c>
      <c r="M1166" s="14">
        <v>7650</v>
      </c>
      <c r="N1166" s="14">
        <v>1632</v>
      </c>
      <c r="O1166" s="16"/>
      <c r="P1166" s="6">
        <v>40533.359513888892</v>
      </c>
      <c r="Q1166" s="12" t="s">
        <v>137</v>
      </c>
      <c r="R1166" s="17" t="s">
        <v>4019</v>
      </c>
      <c r="S1166" s="13" t="s">
        <v>4020</v>
      </c>
      <c r="T1166" s="11"/>
      <c r="U1166" s="10" t="str">
        <f>HYPERLINK("https://pbs.twimg.com/profile_images/1067330511780175873/WeJyUCVf.jpg","View")</f>
        <v>View</v>
      </c>
    </row>
    <row r="1167" spans="1:21" ht="40.799999999999997">
      <c r="A1167" s="6">
        <v>43439.9375</v>
      </c>
      <c r="B1167" s="7" t="str">
        <f>HYPERLINK("https://twitter.com/larazon_es","@larazon_es")</f>
        <v>@larazon_es</v>
      </c>
      <c r="C1167" s="8" t="s">
        <v>3594</v>
      </c>
      <c r="D1167" s="9" t="s">
        <v>3595</v>
      </c>
      <c r="E1167" s="10" t="str">
        <f>HYPERLINK("https://twitter.com/larazon_es/status/1070430110271057923","1070430110271057923")</f>
        <v>1070430110271057923</v>
      </c>
      <c r="F1167" s="13" t="s">
        <v>4023</v>
      </c>
      <c r="G1167" s="13" t="s">
        <v>4024</v>
      </c>
      <c r="H1167" s="11"/>
      <c r="I1167" s="14">
        <v>5</v>
      </c>
      <c r="J1167" s="14">
        <v>6</v>
      </c>
      <c r="K1167" s="15" t="str">
        <f>HYPERLINK("http://dogtrack.es","DogTrack_Oficial")</f>
        <v>DogTrack_Oficial</v>
      </c>
      <c r="L1167" s="14">
        <v>442246</v>
      </c>
      <c r="M1167" s="14">
        <v>2961</v>
      </c>
      <c r="N1167" s="14">
        <v>6168</v>
      </c>
      <c r="O1167" s="19" t="s">
        <v>42</v>
      </c>
      <c r="P1167" s="6">
        <v>40218.530092592591</v>
      </c>
      <c r="Q1167" s="12" t="s">
        <v>137</v>
      </c>
      <c r="R1167" s="17" t="s">
        <v>3598</v>
      </c>
      <c r="S1167" s="13" t="s">
        <v>3599</v>
      </c>
      <c r="T1167" s="11"/>
      <c r="U1167" s="10" t="str">
        <f>HYPERLINK("https://pbs.twimg.com/profile_images/1038331271108341762/TPuwz6wc.jpg","View")</f>
        <v>View</v>
      </c>
    </row>
    <row r="1168" spans="1:21" ht="30.6">
      <c r="A1168" s="6">
        <v>43439.936898148153</v>
      </c>
      <c r="B1168" s="7" t="str">
        <f>HYPERLINK("https://twitter.com/guajalicia","@guajalicia")</f>
        <v>@guajalicia</v>
      </c>
      <c r="C1168" s="8" t="s">
        <v>4026</v>
      </c>
      <c r="D1168" s="9" t="s">
        <v>4027</v>
      </c>
      <c r="E1168" s="10" t="str">
        <f>HYPERLINK("https://twitter.com/guajalicia/status/1070429892246941708","1070429892246941708")</f>
        <v>1070429892246941708</v>
      </c>
      <c r="F1168" s="13" t="s">
        <v>4028</v>
      </c>
      <c r="G1168" s="11"/>
      <c r="H1168" s="11"/>
      <c r="I1168" s="14">
        <v>0</v>
      </c>
      <c r="J1168" s="14">
        <v>0</v>
      </c>
      <c r="K1168" s="15" t="str">
        <f>HYPERLINK("http://twitter.com","Twitter Web Client")</f>
        <v>Twitter Web Client</v>
      </c>
      <c r="L1168" s="14">
        <v>680</v>
      </c>
      <c r="M1168" s="14">
        <v>1252</v>
      </c>
      <c r="N1168" s="14">
        <v>5</v>
      </c>
      <c r="O1168" s="16"/>
      <c r="P1168" s="6">
        <v>40026.010254629626</v>
      </c>
      <c r="Q1168" s="12" t="s">
        <v>137</v>
      </c>
      <c r="R1168" s="18"/>
      <c r="S1168" s="11"/>
      <c r="T1168" s="11"/>
      <c r="U1168" s="10" t="str">
        <f>HYPERLINK("https://pbs.twimg.com/profile_images/977988003800010752/Wg6gK98M.jpg","View")</f>
        <v>View</v>
      </c>
    </row>
    <row r="1169" spans="1:21" ht="51">
      <c r="A1169" s="6">
        <v>43439.935879629629</v>
      </c>
      <c r="B1169" s="7" t="str">
        <f>HYPERLINK("https://twitter.com/narud56841098","@narud56841098")</f>
        <v>@narud56841098</v>
      </c>
      <c r="C1169" s="8" t="s">
        <v>4796</v>
      </c>
      <c r="D1169" s="9" t="s">
        <v>4797</v>
      </c>
      <c r="E1169" s="10" t="str">
        <f>HYPERLINK("https://twitter.com/narud56841098/status/1070429520707104775","1070429520707104775")</f>
        <v>1070429520707104775</v>
      </c>
      <c r="F1169" s="11"/>
      <c r="G1169" s="11"/>
      <c r="H1169" s="11"/>
      <c r="I1169" s="14">
        <v>0</v>
      </c>
      <c r="J1169" s="14">
        <v>1</v>
      </c>
      <c r="K1169" s="15" t="str">
        <f>HYPERLINK("http://twitter.com/download/iphone","Twitter for iPhone")</f>
        <v>Twitter for iPhone</v>
      </c>
      <c r="L1169" s="14">
        <v>27</v>
      </c>
      <c r="M1169" s="14">
        <v>170</v>
      </c>
      <c r="N1169" s="14">
        <v>0</v>
      </c>
      <c r="O1169" s="16"/>
      <c r="P1169" s="6">
        <v>43261.642870370371</v>
      </c>
      <c r="Q1169" s="12" t="s">
        <v>137</v>
      </c>
      <c r="R1169" s="17" t="s">
        <v>4800</v>
      </c>
      <c r="S1169" s="11"/>
      <c r="T1169" s="11"/>
      <c r="U1169" s="10" t="str">
        <f>HYPERLINK("https://pbs.twimg.com/profile_images/1005806317284593664/10g8jpRR.jpg","View")</f>
        <v>View</v>
      </c>
    </row>
    <row r="1170" spans="1:21" ht="13.2">
      <c r="A1170" s="6">
        <v>43439.935787037037</v>
      </c>
      <c r="B1170" s="7" t="str">
        <f>HYPERLINK("https://twitter.com/miguelbrafei","@miguelbrafei")</f>
        <v>@miguelbrafei</v>
      </c>
      <c r="C1170" s="8" t="s">
        <v>4801</v>
      </c>
      <c r="D1170" s="9" t="s">
        <v>1896</v>
      </c>
      <c r="E1170" s="10" t="str">
        <f>HYPERLINK("https://twitter.com/miguelbrafei/status/1070429490772357141","1070429490772357141")</f>
        <v>1070429490772357141</v>
      </c>
      <c r="F1170" s="13" t="s">
        <v>1899</v>
      </c>
      <c r="G1170" s="11"/>
      <c r="H1170" s="11"/>
      <c r="I1170" s="14">
        <v>0</v>
      </c>
      <c r="J1170" s="14">
        <v>0</v>
      </c>
      <c r="K1170" s="15" t="str">
        <f>HYPERLINK("http://twitter.com","Twitter Web Client")</f>
        <v>Twitter Web Client</v>
      </c>
      <c r="L1170" s="14">
        <v>10</v>
      </c>
      <c r="M1170" s="14">
        <v>36</v>
      </c>
      <c r="N1170" s="14">
        <v>0</v>
      </c>
      <c r="O1170" s="16"/>
      <c r="P1170" s="6">
        <v>43061.922268518523</v>
      </c>
      <c r="Q1170" s="12" t="s">
        <v>4804</v>
      </c>
      <c r="R1170" s="18"/>
      <c r="S1170" s="11"/>
      <c r="T1170" s="11"/>
      <c r="U1170" s="10" t="str">
        <f>HYPERLINK("https://pbs.twimg.com/profile_images/1066454192821293058/NOEVquLJ.jpg","View")</f>
        <v>View</v>
      </c>
    </row>
    <row r="1171" spans="1:21" ht="102">
      <c r="A1171" s="6">
        <v>43439.935335648144</v>
      </c>
      <c r="B1171" s="7" t="str">
        <f>HYPERLINK("https://twitter.com/mari59carmen","@mari59carmen")</f>
        <v>@mari59carmen</v>
      </c>
      <c r="C1171" s="8" t="s">
        <v>4029</v>
      </c>
      <c r="D1171" s="9" t="s">
        <v>4030</v>
      </c>
      <c r="E1171" s="10" t="str">
        <f>HYPERLINK("https://twitter.com/mari59carmen/status/1070429323599982608","1070429323599982608")</f>
        <v>1070429323599982608</v>
      </c>
      <c r="F1171" s="12" t="s">
        <v>4031</v>
      </c>
      <c r="G1171" s="11"/>
      <c r="H1171" s="11"/>
      <c r="I1171" s="14">
        <v>0</v>
      </c>
      <c r="J1171" s="14">
        <v>1</v>
      </c>
      <c r="K1171" s="15" t="str">
        <f>HYPERLINK("http://twitter.com/download/android","Twitter for Android")</f>
        <v>Twitter for Android</v>
      </c>
      <c r="L1171" s="14">
        <v>70</v>
      </c>
      <c r="M1171" s="14">
        <v>104</v>
      </c>
      <c r="N1171" s="14">
        <v>0</v>
      </c>
      <c r="O1171" s="16"/>
      <c r="P1171" s="6">
        <v>43012.592986111107</v>
      </c>
      <c r="Q1171" s="11"/>
      <c r="R1171" s="17" t="s">
        <v>4036</v>
      </c>
      <c r="S1171" s="11"/>
      <c r="T1171" s="11"/>
      <c r="U1171" s="10" t="str">
        <f>HYPERLINK("https://pbs.twimg.com/profile_images/915555847480266752/Ivy4PIjk.jpg","View")</f>
        <v>View</v>
      </c>
    </row>
    <row r="1172" spans="1:21" ht="102">
      <c r="A1172" s="6">
        <v>43439.93478009259</v>
      </c>
      <c r="B1172" s="7" t="str">
        <f>HYPERLINK("https://twitter.com/marianocortes66","@marianocortes66")</f>
        <v>@marianocortes66</v>
      </c>
      <c r="C1172" s="8" t="s">
        <v>4039</v>
      </c>
      <c r="D1172" s="9" t="s">
        <v>4040</v>
      </c>
      <c r="E1172" s="10" t="str">
        <f>HYPERLINK("https://twitter.com/marianocortes66/status/1070429124823527424","1070429124823527424")</f>
        <v>1070429124823527424</v>
      </c>
      <c r="F1172" s="13" t="s">
        <v>4043</v>
      </c>
      <c r="G1172" s="13" t="s">
        <v>4044</v>
      </c>
      <c r="H1172" s="11"/>
      <c r="I1172" s="14">
        <v>0</v>
      </c>
      <c r="J1172" s="14">
        <v>1</v>
      </c>
      <c r="K1172" s="15" t="str">
        <f>HYPERLINK("http://twitter.com/#!/download/ipad","Twitter for iPad")</f>
        <v>Twitter for iPad</v>
      </c>
      <c r="L1172" s="14">
        <v>115</v>
      </c>
      <c r="M1172" s="14">
        <v>262</v>
      </c>
      <c r="N1172" s="14">
        <v>6</v>
      </c>
      <c r="O1172" s="16"/>
      <c r="P1172" s="6">
        <v>40680.754212962966</v>
      </c>
      <c r="Q1172" s="12" t="s">
        <v>1285</v>
      </c>
      <c r="R1172" s="17" t="s">
        <v>4047</v>
      </c>
      <c r="S1172" s="11"/>
      <c r="T1172" s="11"/>
      <c r="U1172" s="10" t="str">
        <f>HYPERLINK("https://pbs.twimg.com/profile_images/1010533104010842112/N5O56_oc.jpg","View")</f>
        <v>View</v>
      </c>
    </row>
    <row r="1173" spans="1:21" ht="30.6">
      <c r="A1173" s="6">
        <v>43439.932962962965</v>
      </c>
      <c r="B1173" s="7" t="str">
        <f>HYPERLINK("https://twitter.com/alibrodriguez","@alibrodriguez")</f>
        <v>@alibrodriguez</v>
      </c>
      <c r="C1173" s="8" t="s">
        <v>4052</v>
      </c>
      <c r="D1173" s="9" t="s">
        <v>4053</v>
      </c>
      <c r="E1173" s="10" t="str">
        <f>HYPERLINK("https://twitter.com/alibrodriguez/status/1070428466712064017","1070428466712064017")</f>
        <v>1070428466712064017</v>
      </c>
      <c r="F1173" s="11"/>
      <c r="G1173" s="11"/>
      <c r="H1173" s="11"/>
      <c r="I1173" s="14">
        <v>1</v>
      </c>
      <c r="J1173" s="14">
        <v>2</v>
      </c>
      <c r="K1173" s="15" t="str">
        <f>HYPERLINK("http://twitter.com/download/android","Twitter for Android")</f>
        <v>Twitter for Android</v>
      </c>
      <c r="L1173" s="14">
        <v>259</v>
      </c>
      <c r="M1173" s="14">
        <v>160</v>
      </c>
      <c r="N1173" s="14">
        <v>6</v>
      </c>
      <c r="O1173" s="16"/>
      <c r="P1173" s="6">
        <v>42395.37118055555</v>
      </c>
      <c r="Q1173" s="11"/>
      <c r="R1173" s="18"/>
      <c r="S1173" s="11"/>
      <c r="T1173" s="11"/>
      <c r="U1173" s="10" t="str">
        <f>HYPERLINK("https://pbs.twimg.com/profile_images/1041742663807066112/x7GQihIk.jpg","View")</f>
        <v>View</v>
      </c>
    </row>
    <row r="1174" spans="1:21" ht="40.799999999999997">
      <c r="A1174" s="6">
        <v>43439.931087962963</v>
      </c>
      <c r="B1174" s="7" t="str">
        <f>HYPERLINK("https://twitter.com/algonmar","@algonmar")</f>
        <v>@algonmar</v>
      </c>
      <c r="C1174" s="8" t="s">
        <v>2420</v>
      </c>
      <c r="D1174" s="9" t="s">
        <v>1896</v>
      </c>
      <c r="E1174" s="10" t="str">
        <f>HYPERLINK("https://twitter.com/algonmar/status/1070427786416926725","1070427786416926725")</f>
        <v>1070427786416926725</v>
      </c>
      <c r="F1174" s="13" t="s">
        <v>1899</v>
      </c>
      <c r="G1174" s="11"/>
      <c r="H1174" s="11"/>
      <c r="I1174" s="14">
        <v>1</v>
      </c>
      <c r="J1174" s="14">
        <v>1</v>
      </c>
      <c r="K1174" s="15" t="str">
        <f>HYPERLINK("http://twitter.com/download/iphone","Twitter for iPhone")</f>
        <v>Twitter for iPhone</v>
      </c>
      <c r="L1174" s="14">
        <v>1746</v>
      </c>
      <c r="M1174" s="14">
        <v>4895</v>
      </c>
      <c r="N1174" s="14">
        <v>39</v>
      </c>
      <c r="O1174" s="16"/>
      <c r="P1174" s="6">
        <v>40203.941504629627</v>
      </c>
      <c r="Q1174" s="12" t="s">
        <v>2425</v>
      </c>
      <c r="R1174" s="17" t="s">
        <v>2426</v>
      </c>
      <c r="S1174" s="13" t="s">
        <v>2427</v>
      </c>
      <c r="T1174" s="11"/>
      <c r="U1174" s="10" t="str">
        <f>HYPERLINK("https://pbs.twimg.com/profile_images/470283269993283584/jF_X5Z_m.jpeg","View")</f>
        <v>View</v>
      </c>
    </row>
    <row r="1175" spans="1:21" ht="51">
      <c r="A1175" s="6">
        <v>43439.930648148147</v>
      </c>
      <c r="B1175" s="7" t="str">
        <f>HYPERLINK("https://twitter.com/CsRegionMurcia","@CsRegionMurcia")</f>
        <v>@CsRegionMurcia</v>
      </c>
      <c r="C1175" s="8" t="s">
        <v>817</v>
      </c>
      <c r="D1175" s="9" t="s">
        <v>4054</v>
      </c>
      <c r="E1175" s="10" t="str">
        <f>HYPERLINK("https://twitter.com/CsRegionMurcia/status/1070427627188641792","1070427627188641792")</f>
        <v>1070427627188641792</v>
      </c>
      <c r="F1175" s="13" t="s">
        <v>4055</v>
      </c>
      <c r="G1175" s="13" t="s">
        <v>4056</v>
      </c>
      <c r="H1175" s="11"/>
      <c r="I1175" s="14">
        <v>9</v>
      </c>
      <c r="J1175" s="14">
        <v>8</v>
      </c>
      <c r="K1175" s="15" t="str">
        <f>HYPERLINK("https://www.hootsuite.com","Hootsuite Inc.")</f>
        <v>Hootsuite Inc.</v>
      </c>
      <c r="L1175" s="14">
        <v>6245</v>
      </c>
      <c r="M1175" s="14">
        <v>1107</v>
      </c>
      <c r="N1175" s="14">
        <v>96</v>
      </c>
      <c r="O1175" s="19" t="s">
        <v>42</v>
      </c>
      <c r="P1175" s="6">
        <v>40745.431666666671</v>
      </c>
      <c r="Q1175" s="12" t="s">
        <v>820</v>
      </c>
      <c r="R1175" s="17" t="s">
        <v>821</v>
      </c>
      <c r="S1175" s="13" t="s">
        <v>822</v>
      </c>
      <c r="T1175" s="11"/>
      <c r="U1175" s="10" t="str">
        <f>HYPERLINK("https://pbs.twimg.com/profile_images/1053559144299614208/SFwaZPxU.jpg","View")</f>
        <v>View</v>
      </c>
    </row>
    <row r="1176" spans="1:21" ht="40.799999999999997">
      <c r="A1176" s="6">
        <v>43439.93037037037</v>
      </c>
      <c r="B1176" s="7" t="str">
        <f>HYPERLINK("https://twitter.com/algonmar","@algonmar")</f>
        <v>@algonmar</v>
      </c>
      <c r="C1176" s="8" t="s">
        <v>2420</v>
      </c>
      <c r="D1176" s="9" t="s">
        <v>4814</v>
      </c>
      <c r="E1176" s="10" t="str">
        <f>HYPERLINK("https://twitter.com/algonmar/status/1070427526571405326","1070427526571405326")</f>
        <v>1070427526571405326</v>
      </c>
      <c r="F1176" s="13" t="s">
        <v>4815</v>
      </c>
      <c r="G1176" s="11"/>
      <c r="H1176" s="11"/>
      <c r="I1176" s="14">
        <v>1</v>
      </c>
      <c r="J1176" s="14">
        <v>1</v>
      </c>
      <c r="K1176" s="15" t="str">
        <f t="shared" ref="K1176:K1177" si="246">HYPERLINK("http://twitter.com/download/iphone","Twitter for iPhone")</f>
        <v>Twitter for iPhone</v>
      </c>
      <c r="L1176" s="14">
        <v>1746</v>
      </c>
      <c r="M1176" s="14">
        <v>4895</v>
      </c>
      <c r="N1176" s="14">
        <v>39</v>
      </c>
      <c r="O1176" s="16"/>
      <c r="P1176" s="6">
        <v>40203.941504629627</v>
      </c>
      <c r="Q1176" s="12" t="s">
        <v>2425</v>
      </c>
      <c r="R1176" s="17" t="s">
        <v>2426</v>
      </c>
      <c r="S1176" s="13" t="s">
        <v>2427</v>
      </c>
      <c r="T1176" s="11"/>
      <c r="U1176" s="10" t="str">
        <f>HYPERLINK("https://pbs.twimg.com/profile_images/470283269993283584/jF_X5Z_m.jpeg","View")</f>
        <v>View</v>
      </c>
    </row>
    <row r="1177" spans="1:21" ht="51">
      <c r="A1177" s="6">
        <v>43439.929305555561</v>
      </c>
      <c r="B1177" s="7" t="str">
        <f>HYPERLINK("https://twitter.com/Albert_Rivera","@Albert_Rivera")</f>
        <v>@Albert_Rivera</v>
      </c>
      <c r="C1177" s="8" t="s">
        <v>443</v>
      </c>
      <c r="D1177" s="9" t="s">
        <v>4818</v>
      </c>
      <c r="E1177" s="10" t="str">
        <f>HYPERLINK("https://twitter.com/Albert_Rivera/status/1070427138782826498","1070427138782826498")</f>
        <v>1070427138782826498</v>
      </c>
      <c r="F1177" s="11"/>
      <c r="G1177" s="13" t="s">
        <v>2313</v>
      </c>
      <c r="H1177" s="11"/>
      <c r="I1177" s="14">
        <v>1732</v>
      </c>
      <c r="J1177" s="14">
        <v>2954</v>
      </c>
      <c r="K1177" s="15" t="str">
        <f t="shared" si="246"/>
        <v>Twitter for iPhone</v>
      </c>
      <c r="L1177" s="14">
        <v>1075808</v>
      </c>
      <c r="M1177" s="14">
        <v>2547</v>
      </c>
      <c r="N1177" s="14">
        <v>5114</v>
      </c>
      <c r="O1177" s="19" t="s">
        <v>42</v>
      </c>
      <c r="P1177" s="6">
        <v>40205.748171296298</v>
      </c>
      <c r="Q1177" s="12" t="s">
        <v>137</v>
      </c>
      <c r="R1177" s="17" t="s">
        <v>450</v>
      </c>
      <c r="S1177" s="13" t="s">
        <v>452</v>
      </c>
      <c r="T1177" s="11"/>
      <c r="U1177" s="10" t="str">
        <f>HYPERLINK("https://pbs.twimg.com/profile_images/1030708936779988993/RncDM4EZ.jpg","View")</f>
        <v>View</v>
      </c>
    </row>
    <row r="1178" spans="1:21" ht="30.6">
      <c r="A1178" s="6">
        <v>43439.929224537038</v>
      </c>
      <c r="B1178" s="7" t="str">
        <f>HYPERLINK("https://twitter.com/CallejeroP","@CallejeroP")</f>
        <v>@CallejeroP</v>
      </c>
      <c r="C1178" s="8" t="s">
        <v>4057</v>
      </c>
      <c r="D1178" s="9" t="s">
        <v>4058</v>
      </c>
      <c r="E1178" s="10" t="str">
        <f>HYPERLINK("https://twitter.com/CallejeroP/status/1070427111687630856","1070427111687630856")</f>
        <v>1070427111687630856</v>
      </c>
      <c r="F1178" s="11"/>
      <c r="G1178" s="11"/>
      <c r="H1178" s="11"/>
      <c r="I1178" s="14">
        <v>0</v>
      </c>
      <c r="J1178" s="14">
        <v>0</v>
      </c>
      <c r="K1178" s="15" t="str">
        <f t="shared" ref="K1178:K1179" si="247">HYPERLINK("http://twitter.com/download/android","Twitter for Android")</f>
        <v>Twitter for Android</v>
      </c>
      <c r="L1178" s="14">
        <v>286</v>
      </c>
      <c r="M1178" s="14">
        <v>288</v>
      </c>
      <c r="N1178" s="14">
        <v>12</v>
      </c>
      <c r="O1178" s="16"/>
      <c r="P1178" s="6">
        <v>41029.793020833335</v>
      </c>
      <c r="Q1178" s="11"/>
      <c r="R1178" s="17" t="s">
        <v>4059</v>
      </c>
      <c r="S1178" s="11"/>
      <c r="T1178" s="11"/>
      <c r="U1178" s="10" t="str">
        <f>HYPERLINK("https://pbs.twimg.com/profile_images/953352940311515142/0RHvIvdz.jpg","View")</f>
        <v>View</v>
      </c>
    </row>
    <row r="1179" spans="1:21" ht="40.799999999999997">
      <c r="A1179" s="6">
        <v>43439.928738425922</v>
      </c>
      <c r="B1179" s="7" t="str">
        <f>HYPERLINK("https://twitter.com/AbelSevillaM","@AbelSevillaM")</f>
        <v>@AbelSevillaM</v>
      </c>
      <c r="C1179" s="8" t="s">
        <v>4061</v>
      </c>
      <c r="D1179" s="9" t="s">
        <v>4062</v>
      </c>
      <c r="E1179" s="10" t="str">
        <f>HYPERLINK("https://twitter.com/AbelSevillaM/status/1070426936755830784","1070426936755830784")</f>
        <v>1070426936755830784</v>
      </c>
      <c r="F1179" s="11"/>
      <c r="G1179" s="13" t="s">
        <v>4063</v>
      </c>
      <c r="H1179" s="11"/>
      <c r="I1179" s="14">
        <v>2</v>
      </c>
      <c r="J1179" s="14">
        <v>4</v>
      </c>
      <c r="K1179" s="15" t="str">
        <f t="shared" si="247"/>
        <v>Twitter for Android</v>
      </c>
      <c r="L1179" s="14">
        <v>88</v>
      </c>
      <c r="M1179" s="14">
        <v>92</v>
      </c>
      <c r="N1179" s="14">
        <v>1</v>
      </c>
      <c r="O1179" s="16"/>
      <c r="P1179" s="6">
        <v>43188.835497685184</v>
      </c>
      <c r="Q1179" s="11"/>
      <c r="R1179" s="17" t="s">
        <v>4067</v>
      </c>
      <c r="S1179" s="11"/>
      <c r="T1179" s="11"/>
      <c r="U1179" s="10" t="str">
        <f>HYPERLINK("https://pbs.twimg.com/profile_images/1053986606288379904/5IjkknOY.jpg","View")</f>
        <v>View</v>
      </c>
    </row>
    <row r="1180" spans="1:21" ht="51">
      <c r="A1180" s="6">
        <v>43439.92869212963</v>
      </c>
      <c r="B1180" s="7" t="str">
        <f>HYPERLINK("https://twitter.com/bitMomentum","@bitMomentum")</f>
        <v>@bitMomentum</v>
      </c>
      <c r="C1180" s="8" t="s">
        <v>1889</v>
      </c>
      <c r="D1180" s="9" t="s">
        <v>4068</v>
      </c>
      <c r="E1180" s="10" t="str">
        <f>HYPERLINK("https://twitter.com/bitMomentum/status/1070426918091153414","1070426918091153414")</f>
        <v>1070426918091153414</v>
      </c>
      <c r="F1180" s="11"/>
      <c r="G1180" s="13" t="s">
        <v>4069</v>
      </c>
      <c r="H1180" s="11"/>
      <c r="I1180" s="14">
        <v>0</v>
      </c>
      <c r="J1180" s="14">
        <v>0</v>
      </c>
      <c r="K1180" s="15" t="str">
        <f>HYPERLINK("http://www.bitmomentum.com","bitMomentum Bot")</f>
        <v>bitMomentum Bot</v>
      </c>
      <c r="L1180" s="14">
        <v>10254</v>
      </c>
      <c r="M1180" s="14">
        <v>1059</v>
      </c>
      <c r="N1180" s="14">
        <v>263</v>
      </c>
      <c r="O1180" s="16"/>
      <c r="P1180" s="6">
        <v>41608.667511574073</v>
      </c>
      <c r="Q1180" s="11"/>
      <c r="R1180" s="17" t="s">
        <v>1897</v>
      </c>
      <c r="S1180" s="13" t="s">
        <v>1898</v>
      </c>
      <c r="T1180" s="11"/>
      <c r="U1180" s="10" t="str">
        <f>HYPERLINK("https://pbs.twimg.com/profile_images/378800000862185241/20ij2H3u.png","View")</f>
        <v>View</v>
      </c>
    </row>
    <row r="1181" spans="1:21" ht="71.400000000000006">
      <c r="A1181" s="6">
        <v>43439.928472222222</v>
      </c>
      <c r="B1181" s="7" t="str">
        <f>HYPERLINK("https://twitter.com/RUBENZ25","@RUBENZ25")</f>
        <v>@RUBENZ25</v>
      </c>
      <c r="C1181" s="8" t="s">
        <v>4076</v>
      </c>
      <c r="D1181" s="9" t="s">
        <v>4077</v>
      </c>
      <c r="E1181" s="10" t="str">
        <f>HYPERLINK("https://twitter.com/RUBENZ25/status/1070426838059626496","1070426838059626496")</f>
        <v>1070426838059626496</v>
      </c>
      <c r="F1181" s="13" t="s">
        <v>2056</v>
      </c>
      <c r="G1181" s="13" t="s">
        <v>2057</v>
      </c>
      <c r="H1181" s="11"/>
      <c r="I1181" s="14">
        <v>0</v>
      </c>
      <c r="J1181" s="14">
        <v>0</v>
      </c>
      <c r="K1181" s="15" t="str">
        <f>HYPERLINK("http://twitter.com/download/android","Twitter for Android")</f>
        <v>Twitter for Android</v>
      </c>
      <c r="L1181" s="14">
        <v>269</v>
      </c>
      <c r="M1181" s="14">
        <v>497</v>
      </c>
      <c r="N1181" s="14">
        <v>0</v>
      </c>
      <c r="O1181" s="16"/>
      <c r="P1181" s="6">
        <v>40703.76289351852</v>
      </c>
      <c r="Q1181" s="12" t="s">
        <v>4078</v>
      </c>
      <c r="R1181" s="17" t="s">
        <v>4079</v>
      </c>
      <c r="S1181" s="11"/>
      <c r="T1181" s="11"/>
      <c r="U1181" s="10" t="str">
        <f>HYPERLINK("https://pbs.twimg.com/profile_images/887411100697972736/2k29qQDf.jpg","View")</f>
        <v>View</v>
      </c>
    </row>
    <row r="1182" spans="1:21" ht="51">
      <c r="A1182" s="6">
        <v>43439.92800925926</v>
      </c>
      <c r="B1182" s="7" t="str">
        <f>HYPERLINK("https://twitter.com/bitMomentum","@bitMomentum")</f>
        <v>@bitMomentum</v>
      </c>
      <c r="C1182" s="8" t="s">
        <v>1889</v>
      </c>
      <c r="D1182" s="9" t="s">
        <v>4080</v>
      </c>
      <c r="E1182" s="10" t="str">
        <f>HYPERLINK("https://twitter.com/bitMomentum/status/1070426669939376129","1070426669939376129")</f>
        <v>1070426669939376129</v>
      </c>
      <c r="F1182" s="11"/>
      <c r="G1182" s="13" t="s">
        <v>4081</v>
      </c>
      <c r="H1182" s="11"/>
      <c r="I1182" s="14">
        <v>0</v>
      </c>
      <c r="J1182" s="14">
        <v>0</v>
      </c>
      <c r="K1182" s="15" t="str">
        <f>HYPERLINK("http://www.bitmomentum.com","bitMomentum Bot")</f>
        <v>bitMomentum Bot</v>
      </c>
      <c r="L1182" s="14">
        <v>10254</v>
      </c>
      <c r="M1182" s="14">
        <v>1059</v>
      </c>
      <c r="N1182" s="14">
        <v>263</v>
      </c>
      <c r="O1182" s="16"/>
      <c r="P1182" s="6">
        <v>41608.667511574073</v>
      </c>
      <c r="Q1182" s="11"/>
      <c r="R1182" s="17" t="s">
        <v>1897</v>
      </c>
      <c r="S1182" s="13" t="s">
        <v>1898</v>
      </c>
      <c r="T1182" s="11"/>
      <c r="U1182" s="10" t="str">
        <f>HYPERLINK("https://pbs.twimg.com/profile_images/378800000862185241/20ij2H3u.png","View")</f>
        <v>View</v>
      </c>
    </row>
    <row r="1183" spans="1:21" ht="51">
      <c r="A1183" s="6">
        <v>43439.927465277782</v>
      </c>
      <c r="B1183" s="7" t="str">
        <f>HYPERLINK("https://twitter.com/juan_elman","@juan_elman")</f>
        <v>@juan_elman</v>
      </c>
      <c r="C1183" s="8" t="s">
        <v>4832</v>
      </c>
      <c r="D1183" s="9" t="s">
        <v>4833</v>
      </c>
      <c r="E1183" s="10" t="str">
        <f>HYPERLINK("https://twitter.com/juan_elman/status/1070426471552954376","1070426471552954376")</f>
        <v>1070426471552954376</v>
      </c>
      <c r="F1183" s="11"/>
      <c r="G1183" s="11"/>
      <c r="H1183" s="11"/>
      <c r="I1183" s="14">
        <v>1</v>
      </c>
      <c r="J1183" s="14">
        <v>47</v>
      </c>
      <c r="K1183" s="15" t="str">
        <f>HYPERLINK("http://twitter.com","Twitter Web Client")</f>
        <v>Twitter Web Client</v>
      </c>
      <c r="L1183" s="14">
        <v>3722</v>
      </c>
      <c r="M1183" s="14">
        <v>1332</v>
      </c>
      <c r="N1183" s="14">
        <v>50</v>
      </c>
      <c r="O1183" s="16"/>
      <c r="P1183" s="6">
        <v>40336.143206018518</v>
      </c>
      <c r="Q1183" s="12" t="s">
        <v>4836</v>
      </c>
      <c r="R1183" s="17" t="s">
        <v>4837</v>
      </c>
      <c r="S1183" s="13" t="s">
        <v>4838</v>
      </c>
      <c r="T1183" s="11"/>
      <c r="U1183" s="10" t="str">
        <f>HYPERLINK("https://pbs.twimg.com/profile_images/989186590437249024/cnmEWbxF.jpg","View")</f>
        <v>View</v>
      </c>
    </row>
    <row r="1184" spans="1:21" ht="71.400000000000006">
      <c r="A1184" s="6">
        <v>43439.927453703705</v>
      </c>
      <c r="B1184" s="7" t="str">
        <f>HYPERLINK("https://twitter.com/gabrielrufian","@gabrielrufian")</f>
        <v>@gabrielrufian</v>
      </c>
      <c r="C1184" s="8" t="s">
        <v>4082</v>
      </c>
      <c r="D1184" s="9" t="s">
        <v>4083</v>
      </c>
      <c r="E1184" s="10" t="str">
        <f>HYPERLINK("https://twitter.com/gabrielrufian/status/1070426470349242368","1070426470349242368")</f>
        <v>1070426470349242368</v>
      </c>
      <c r="F1184" s="13" t="s">
        <v>4084</v>
      </c>
      <c r="G1184" s="13" t="s">
        <v>2057</v>
      </c>
      <c r="H1184" s="11"/>
      <c r="I1184" s="14">
        <v>639</v>
      </c>
      <c r="J1184" s="14">
        <v>2007</v>
      </c>
      <c r="K1184" s="15" t="str">
        <f t="shared" ref="K1184:K1186" si="248">HYPERLINK("http://twitter.com/download/iphone","Twitter for iPhone")</f>
        <v>Twitter for iPhone</v>
      </c>
      <c r="L1184" s="14">
        <v>616384</v>
      </c>
      <c r="M1184" s="14">
        <v>4690</v>
      </c>
      <c r="N1184" s="14">
        <v>2287</v>
      </c>
      <c r="O1184" s="19" t="s">
        <v>42</v>
      </c>
      <c r="P1184" s="6">
        <v>41977.464050925926</v>
      </c>
      <c r="Q1184" s="11"/>
      <c r="R1184" s="17" t="s">
        <v>4085</v>
      </c>
      <c r="S1184" s="13" t="s">
        <v>4088</v>
      </c>
      <c r="T1184" s="11"/>
      <c r="U1184" s="10" t="str">
        <f>HYPERLINK("https://pbs.twimg.com/profile_images/926514695498096640/KtMp99pO.jpg","View")</f>
        <v>View</v>
      </c>
    </row>
    <row r="1185" spans="1:21" ht="51">
      <c r="A1185" s="6">
        <v>43439.926539351851</v>
      </c>
      <c r="B1185" s="7" t="str">
        <f>HYPERLINK("https://twitter.com/Isipoke","@Isipoke")</f>
        <v>@Isipoke</v>
      </c>
      <c r="C1185" s="8" t="s">
        <v>4091</v>
      </c>
      <c r="D1185" s="9" t="s">
        <v>4092</v>
      </c>
      <c r="E1185" s="10" t="str">
        <f>HYPERLINK("https://twitter.com/Isipoke/status/1070426136423919617","1070426136423919617")</f>
        <v>1070426136423919617</v>
      </c>
      <c r="F1185" s="13" t="s">
        <v>3958</v>
      </c>
      <c r="G1185" s="11"/>
      <c r="H1185" s="11"/>
      <c r="I1185" s="14">
        <v>0</v>
      </c>
      <c r="J1185" s="14">
        <v>0</v>
      </c>
      <c r="K1185" s="15" t="str">
        <f t="shared" si="248"/>
        <v>Twitter for iPhone</v>
      </c>
      <c r="L1185" s="14">
        <v>216</v>
      </c>
      <c r="M1185" s="14">
        <v>229</v>
      </c>
      <c r="N1185" s="14">
        <v>0</v>
      </c>
      <c r="O1185" s="16"/>
      <c r="P1185" s="6">
        <v>41173.052847222221</v>
      </c>
      <c r="Q1185" s="12" t="s">
        <v>4097</v>
      </c>
      <c r="R1185" s="17" t="s">
        <v>4098</v>
      </c>
      <c r="S1185" s="11"/>
      <c r="T1185" s="11"/>
      <c r="U1185" s="10" t="str">
        <f>HYPERLINK("https://pbs.twimg.com/profile_images/1038865337146597376/asgkgw6N.jpg","View")</f>
        <v>View</v>
      </c>
    </row>
    <row r="1186" spans="1:21" ht="40.799999999999997">
      <c r="A1186" s="6">
        <v>43439.926342592589</v>
      </c>
      <c r="B1186" s="7" t="str">
        <f>HYPERLINK("https://twitter.com/Acampal","@Acampal")</f>
        <v>@Acampal</v>
      </c>
      <c r="C1186" s="8" t="s">
        <v>4840</v>
      </c>
      <c r="D1186" s="9" t="s">
        <v>4841</v>
      </c>
      <c r="E1186" s="10" t="str">
        <f>HYPERLINK("https://twitter.com/Acampal/status/1070426065896648716","1070426065896648716")</f>
        <v>1070426065896648716</v>
      </c>
      <c r="F1186" s="11"/>
      <c r="G1186" s="11"/>
      <c r="H1186" s="11"/>
      <c r="I1186" s="14">
        <v>0</v>
      </c>
      <c r="J1186" s="14">
        <v>0</v>
      </c>
      <c r="K1186" s="15" t="str">
        <f t="shared" si="248"/>
        <v>Twitter for iPhone</v>
      </c>
      <c r="L1186" s="14">
        <v>709</v>
      </c>
      <c r="M1186" s="14">
        <v>559</v>
      </c>
      <c r="N1186" s="14">
        <v>10</v>
      </c>
      <c r="O1186" s="16"/>
      <c r="P1186" s="6">
        <v>40604.544988425929</v>
      </c>
      <c r="Q1186" s="12" t="s">
        <v>1803</v>
      </c>
      <c r="R1186" s="17" t="s">
        <v>4842</v>
      </c>
      <c r="S1186" s="11"/>
      <c r="T1186" s="11"/>
      <c r="U1186" s="10" t="str">
        <f>HYPERLINK("https://pbs.twimg.com/profile_images/1040209048346472448/H0Y8gfAB.jpg","View")</f>
        <v>View</v>
      </c>
    </row>
    <row r="1187" spans="1:21" ht="51">
      <c r="A1187" s="6">
        <v>43439.92491898148</v>
      </c>
      <c r="B1187" s="7" t="str">
        <f>HYPERLINK("https://twitter.com/jmespejosaav","@jmespejosaav")</f>
        <v>@jmespejosaav</v>
      </c>
      <c r="C1187" s="8" t="s">
        <v>4101</v>
      </c>
      <c r="D1187" s="9" t="s">
        <v>4102</v>
      </c>
      <c r="E1187" s="10" t="str">
        <f>HYPERLINK("https://twitter.com/jmespejosaav/status/1070425549913407489","1070425549913407489")</f>
        <v>1070425549913407489</v>
      </c>
      <c r="F1187" s="11"/>
      <c r="G1187" s="13" t="s">
        <v>4105</v>
      </c>
      <c r="H1187" s="11"/>
      <c r="I1187" s="14">
        <v>158</v>
      </c>
      <c r="J1187" s="14">
        <v>272</v>
      </c>
      <c r="K1187" s="15" t="str">
        <f>HYPERLINK("http://twitter.com/download/android","Twitter for Android")</f>
        <v>Twitter for Android</v>
      </c>
      <c r="L1187" s="14">
        <v>10040</v>
      </c>
      <c r="M1187" s="14">
        <v>771</v>
      </c>
      <c r="N1187" s="14">
        <v>157</v>
      </c>
      <c r="O1187" s="19" t="s">
        <v>42</v>
      </c>
      <c r="P1187" s="6">
        <v>40852.433379629627</v>
      </c>
      <c r="Q1187" s="12" t="s">
        <v>4108</v>
      </c>
      <c r="R1187" s="17" t="s">
        <v>4109</v>
      </c>
      <c r="S1187" s="13" t="s">
        <v>452</v>
      </c>
      <c r="T1187" s="11"/>
      <c r="U1187" s="10" t="str">
        <f>HYPERLINK("https://pbs.twimg.com/profile_images/937668386099785733/afLUIv3I.jpg","View")</f>
        <v>View</v>
      </c>
    </row>
    <row r="1188" spans="1:21" ht="51">
      <c r="A1188" s="6">
        <v>43439.924791666665</v>
      </c>
      <c r="B1188" s="7" t="str">
        <f>HYPERLINK("https://twitter.com/Albert_Rivera","@Albert_Rivera")</f>
        <v>@Albert_Rivera</v>
      </c>
      <c r="C1188" s="8" t="s">
        <v>443</v>
      </c>
      <c r="D1188" s="9" t="s">
        <v>4846</v>
      </c>
      <c r="E1188" s="10" t="str">
        <f>HYPERLINK("https://twitter.com/Albert_Rivera/status/1070425503234961410","1070425503234961410")</f>
        <v>1070425503234961410</v>
      </c>
      <c r="F1188" s="11"/>
      <c r="G1188" s="13" t="s">
        <v>2057</v>
      </c>
      <c r="H1188" s="11"/>
      <c r="I1188" s="14">
        <v>886</v>
      </c>
      <c r="J1188" s="14">
        <v>2319</v>
      </c>
      <c r="K1188" s="15" t="str">
        <f t="shared" ref="K1188:K1189" si="249">HYPERLINK("http://twitter.com/download/iphone","Twitter for iPhone")</f>
        <v>Twitter for iPhone</v>
      </c>
      <c r="L1188" s="14">
        <v>1075808</v>
      </c>
      <c r="M1188" s="14">
        <v>2547</v>
      </c>
      <c r="N1188" s="14">
        <v>5114</v>
      </c>
      <c r="O1188" s="19" t="s">
        <v>42</v>
      </c>
      <c r="P1188" s="6">
        <v>40205.748171296298</v>
      </c>
      <c r="Q1188" s="12" t="s">
        <v>137</v>
      </c>
      <c r="R1188" s="17" t="s">
        <v>450</v>
      </c>
      <c r="S1188" s="13" t="s">
        <v>452</v>
      </c>
      <c r="T1188" s="11"/>
      <c r="U1188" s="10" t="str">
        <f>HYPERLINK("https://pbs.twimg.com/profile_images/1030708936779988993/RncDM4EZ.jpg","View")</f>
        <v>View</v>
      </c>
    </row>
    <row r="1189" spans="1:21" ht="61.2">
      <c r="A1189" s="6">
        <v>43439.924201388887</v>
      </c>
      <c r="B1189" s="7" t="str">
        <f>HYPERLINK("https://twitter.com/MarilenBarcelo","@MarilenBarcelo")</f>
        <v>@MarilenBarcelo</v>
      </c>
      <c r="C1189" s="8" t="s">
        <v>4112</v>
      </c>
      <c r="D1189" s="9" t="s">
        <v>4113</v>
      </c>
      <c r="E1189" s="10" t="str">
        <f>HYPERLINK("https://twitter.com/MarilenBarcelo/status/1070425292295102464","1070425292295102464")</f>
        <v>1070425292295102464</v>
      </c>
      <c r="F1189" s="11"/>
      <c r="G1189" s="13" t="s">
        <v>4114</v>
      </c>
      <c r="H1189" s="11"/>
      <c r="I1189" s="14">
        <v>28</v>
      </c>
      <c r="J1189" s="14">
        <v>80</v>
      </c>
      <c r="K1189" s="15" t="str">
        <f t="shared" si="249"/>
        <v>Twitter for iPhone</v>
      </c>
      <c r="L1189" s="14">
        <v>3031</v>
      </c>
      <c r="M1189" s="14">
        <v>2286</v>
      </c>
      <c r="N1189" s="14">
        <v>43</v>
      </c>
      <c r="O1189" s="16"/>
      <c r="P1189" s="6">
        <v>41615.72315972222</v>
      </c>
      <c r="Q1189" s="12" t="s">
        <v>83</v>
      </c>
      <c r="R1189" s="17" t="s">
        <v>4115</v>
      </c>
      <c r="S1189" s="13" t="s">
        <v>4116</v>
      </c>
      <c r="T1189" s="11"/>
      <c r="U1189" s="10" t="str">
        <f>HYPERLINK("https://pbs.twimg.com/profile_images/1040233449179815938/mJaY7KuK.jpg","View")</f>
        <v>View</v>
      </c>
    </row>
    <row r="1190" spans="1:21" ht="40.799999999999997">
      <c r="A1190" s="6">
        <v>43439.923483796301</v>
      </c>
      <c r="B1190" s="7" t="str">
        <f>HYPERLINK("https://twitter.com/jafombuena","@jafombuena")</f>
        <v>@jafombuena</v>
      </c>
      <c r="C1190" s="8" t="s">
        <v>2264</v>
      </c>
      <c r="D1190" s="9" t="s">
        <v>4852</v>
      </c>
      <c r="E1190" s="10" t="str">
        <f>HYPERLINK("https://twitter.com/jafombuena/status/1070425029156974594","1070425029156974594")</f>
        <v>1070425029156974594</v>
      </c>
      <c r="F1190" s="13" t="s">
        <v>3809</v>
      </c>
      <c r="G1190" s="11"/>
      <c r="H1190" s="11"/>
      <c r="I1190" s="14">
        <v>0</v>
      </c>
      <c r="J1190" s="14">
        <v>1</v>
      </c>
      <c r="K1190" s="15" t="str">
        <f>HYPERLINK("https://paper.li","Paper.li")</f>
        <v>Paper.li</v>
      </c>
      <c r="L1190" s="14">
        <v>2772</v>
      </c>
      <c r="M1190" s="14">
        <v>2998</v>
      </c>
      <c r="N1190" s="14">
        <v>40</v>
      </c>
      <c r="O1190" s="16"/>
      <c r="P1190" s="6">
        <v>41660.54755787037</v>
      </c>
      <c r="Q1190" s="12" t="s">
        <v>2268</v>
      </c>
      <c r="R1190" s="17" t="s">
        <v>2269</v>
      </c>
      <c r="S1190" s="11"/>
      <c r="T1190" s="11"/>
      <c r="U1190" s="10" t="str">
        <f>HYPERLINK("https://pbs.twimg.com/profile_images/1070714953131327488/aVtWH8fh.jpg","View")</f>
        <v>View</v>
      </c>
    </row>
    <row r="1191" spans="1:21" ht="30.6">
      <c r="A1191" s="6">
        <v>43439.922835648147</v>
      </c>
      <c r="B1191" s="7" t="str">
        <f>HYPERLINK("https://twitter.com/jesus3RM7","@jesus3RM7")</f>
        <v>@jesus3RM7</v>
      </c>
      <c r="C1191" s="8" t="s">
        <v>4853</v>
      </c>
      <c r="D1191" s="9" t="s">
        <v>4854</v>
      </c>
      <c r="E1191" s="10" t="str">
        <f>HYPERLINK("https://twitter.com/jesus3RM7/status/1070424796083691520","1070424796083691520")</f>
        <v>1070424796083691520</v>
      </c>
      <c r="F1191" s="13" t="s">
        <v>4856</v>
      </c>
      <c r="G1191" s="11"/>
      <c r="H1191" s="11"/>
      <c r="I1191" s="14">
        <v>0</v>
      </c>
      <c r="J1191" s="14">
        <v>0</v>
      </c>
      <c r="K1191" s="15" t="str">
        <f>HYPERLINK("http://twitter.com/download/iphone","Twitter for iPhone")</f>
        <v>Twitter for iPhone</v>
      </c>
      <c r="L1191" s="14">
        <v>111</v>
      </c>
      <c r="M1191" s="14">
        <v>425</v>
      </c>
      <c r="N1191" s="14">
        <v>9</v>
      </c>
      <c r="O1191" s="16"/>
      <c r="P1191" s="6">
        <v>40766.869201388887</v>
      </c>
      <c r="Q1191" s="11"/>
      <c r="R1191" s="17" t="s">
        <v>4858</v>
      </c>
      <c r="S1191" s="11"/>
      <c r="T1191" s="11"/>
      <c r="U1191" s="10" t="str">
        <f>HYPERLINK("https://pbs.twimg.com/profile_images/541740670697107456/VVrZz3Ea.jpeg","View")</f>
        <v>View</v>
      </c>
    </row>
    <row r="1192" spans="1:21" ht="102">
      <c r="A1192" s="6">
        <v>43439.921203703707</v>
      </c>
      <c r="B1192" s="7" t="str">
        <f>HYPERLINK("https://twitter.com/sepaesbi","@sepaesbi")</f>
        <v>@sepaesbi</v>
      </c>
      <c r="C1192" s="8" t="s">
        <v>4120</v>
      </c>
      <c r="D1192" s="9" t="s">
        <v>4121</v>
      </c>
      <c r="E1192" s="10" t="str">
        <f>HYPERLINK("https://twitter.com/sepaesbi/status/1070424204883976193","1070424204883976193")</f>
        <v>1070424204883976193</v>
      </c>
      <c r="F1192" s="13" t="s">
        <v>2103</v>
      </c>
      <c r="G1192" s="13" t="s">
        <v>2105</v>
      </c>
      <c r="H1192" s="11"/>
      <c r="I1192" s="14">
        <v>1</v>
      </c>
      <c r="J1192" s="14">
        <v>1</v>
      </c>
      <c r="K1192" s="15" t="str">
        <f>HYPERLINK("https://mobile.twitter.com","Twitter Lite")</f>
        <v>Twitter Lite</v>
      </c>
      <c r="L1192" s="14">
        <v>69</v>
      </c>
      <c r="M1192" s="14">
        <v>278</v>
      </c>
      <c r="N1192" s="14">
        <v>1</v>
      </c>
      <c r="O1192" s="16"/>
      <c r="P1192" s="6">
        <v>41724.721539351856</v>
      </c>
      <c r="Q1192" s="11"/>
      <c r="R1192" s="18"/>
      <c r="S1192" s="11"/>
      <c r="T1192" s="11"/>
      <c r="U1192" s="19" t="s">
        <v>629</v>
      </c>
    </row>
    <row r="1193" spans="1:21" ht="30.6">
      <c r="A1193" s="6">
        <v>43439.92119212963</v>
      </c>
      <c r="B1193" s="7" t="str">
        <f>HYPERLINK("https://twitter.com/alteranosorion","@alteranosorion")</f>
        <v>@alteranosorion</v>
      </c>
      <c r="C1193" s="8" t="s">
        <v>4123</v>
      </c>
      <c r="D1193" s="9" t="s">
        <v>4124</v>
      </c>
      <c r="E1193" s="10" t="str">
        <f>HYPERLINK("https://twitter.com/alteranosorion/status/1070424200484139020","1070424200484139020")</f>
        <v>1070424200484139020</v>
      </c>
      <c r="F1193" s="13" t="s">
        <v>4126</v>
      </c>
      <c r="G1193" s="11"/>
      <c r="H1193" s="11"/>
      <c r="I1193" s="14">
        <v>2</v>
      </c>
      <c r="J1193" s="14">
        <v>0</v>
      </c>
      <c r="K1193" s="15" t="str">
        <f t="shared" ref="K1193:K1194" si="250">HYPERLINK("http://twitter.com/download/android","Twitter for Android")</f>
        <v>Twitter for Android</v>
      </c>
      <c r="L1193" s="14">
        <v>1338</v>
      </c>
      <c r="M1193" s="14">
        <v>1664</v>
      </c>
      <c r="N1193" s="14">
        <v>6</v>
      </c>
      <c r="O1193" s="16"/>
      <c r="P1193" s="6">
        <v>41960.683101851857</v>
      </c>
      <c r="Q1193" s="12" t="s">
        <v>2909</v>
      </c>
      <c r="R1193" s="17" t="s">
        <v>4130</v>
      </c>
      <c r="S1193" s="11"/>
      <c r="T1193" s="11"/>
      <c r="U1193" s="10" t="str">
        <f>HYPERLINK("https://pbs.twimg.com/profile_images/898864713571983360/oHJhL4AK.jpg","View")</f>
        <v>View</v>
      </c>
    </row>
    <row r="1194" spans="1:21" ht="40.799999999999997">
      <c r="A1194" s="6">
        <v>43439.920555555553</v>
      </c>
      <c r="B1194" s="7" t="str">
        <f>HYPERLINK("https://twitter.com/Somos_Pueblo_","@Somos_Pueblo_")</f>
        <v>@Somos_Pueblo_</v>
      </c>
      <c r="C1194" s="8" t="s">
        <v>4865</v>
      </c>
      <c r="D1194" s="9" t="s">
        <v>4866</v>
      </c>
      <c r="E1194" s="10" t="str">
        <f>HYPERLINK("https://twitter.com/Somos_Pueblo_/status/1070423970078474241","1070423970078474241")</f>
        <v>1070423970078474241</v>
      </c>
      <c r="F1194" s="11"/>
      <c r="G1194" s="11"/>
      <c r="H1194" s="11"/>
      <c r="I1194" s="14">
        <v>3</v>
      </c>
      <c r="J1194" s="14">
        <v>1</v>
      </c>
      <c r="K1194" s="15" t="str">
        <f t="shared" si="250"/>
        <v>Twitter for Android</v>
      </c>
      <c r="L1194" s="14">
        <v>7718</v>
      </c>
      <c r="M1194" s="14">
        <v>4650</v>
      </c>
      <c r="N1194" s="14">
        <v>60</v>
      </c>
      <c r="O1194" s="16"/>
      <c r="P1194" s="6">
        <v>41822.523634259262</v>
      </c>
      <c r="Q1194" s="11"/>
      <c r="R1194" s="17" t="s">
        <v>4867</v>
      </c>
      <c r="S1194" s="13" t="s">
        <v>4868</v>
      </c>
      <c r="T1194" s="11"/>
      <c r="U1194" s="10" t="str">
        <f>HYPERLINK("https://pbs.twimg.com/profile_images/872080371990618112/aFDq05qd.jpg","View")</f>
        <v>View</v>
      </c>
    </row>
    <row r="1195" spans="1:21" ht="51">
      <c r="A1195" s="6">
        <v>43439.92015046296</v>
      </c>
      <c r="B1195" s="7" t="str">
        <f>HYPERLINK("https://twitter.com/TWildFree","@TWildFree")</f>
        <v>@TWildFree</v>
      </c>
      <c r="C1195" s="8" t="s">
        <v>4131</v>
      </c>
      <c r="D1195" s="9" t="s">
        <v>4132</v>
      </c>
      <c r="E1195" s="10" t="str">
        <f>HYPERLINK("https://twitter.com/TWildFree/status/1070423822489268232","1070423822489268232")</f>
        <v>1070423822489268232</v>
      </c>
      <c r="F1195" s="11"/>
      <c r="G1195" s="11"/>
      <c r="H1195" s="11"/>
      <c r="I1195" s="14">
        <v>7</v>
      </c>
      <c r="J1195" s="14">
        <v>7</v>
      </c>
      <c r="K1195" s="15" t="str">
        <f t="shared" ref="K1195:K1197" si="251">HYPERLINK("http://twitter.com/download/iphone","Twitter for iPhone")</f>
        <v>Twitter for iPhone</v>
      </c>
      <c r="L1195" s="14">
        <v>3195</v>
      </c>
      <c r="M1195" s="14">
        <v>2156</v>
      </c>
      <c r="N1195" s="14">
        <v>86</v>
      </c>
      <c r="O1195" s="16"/>
      <c r="P1195" s="6">
        <v>40675.791099537033</v>
      </c>
      <c r="Q1195" s="12" t="s">
        <v>29</v>
      </c>
      <c r="R1195" s="17" t="s">
        <v>4133</v>
      </c>
      <c r="S1195" s="11"/>
      <c r="T1195" s="11"/>
      <c r="U1195" s="10" t="str">
        <f>HYPERLINK("https://pbs.twimg.com/profile_images/957036860483784704/CBcXOFy_.jpg","View")</f>
        <v>View</v>
      </c>
    </row>
    <row r="1196" spans="1:21" ht="51">
      <c r="A1196" s="6">
        <v>43439.919247685189</v>
      </c>
      <c r="B1196" s="7" t="str">
        <f>HYPERLINK("https://twitter.com/Lucia90647951","@Lucia90647951")</f>
        <v>@Lucia90647951</v>
      </c>
      <c r="C1196" s="8" t="s">
        <v>140</v>
      </c>
      <c r="D1196" s="9" t="s">
        <v>4136</v>
      </c>
      <c r="E1196" s="10" t="str">
        <f>HYPERLINK("https://twitter.com/Lucia90647951/status/1070423496755425302","1070423496755425302")</f>
        <v>1070423496755425302</v>
      </c>
      <c r="F1196" s="12" t="s">
        <v>4137</v>
      </c>
      <c r="G1196" s="11"/>
      <c r="H1196" s="11"/>
      <c r="I1196" s="14">
        <v>2</v>
      </c>
      <c r="J1196" s="14">
        <v>5</v>
      </c>
      <c r="K1196" s="15" t="str">
        <f t="shared" si="251"/>
        <v>Twitter for iPhone</v>
      </c>
      <c r="L1196" s="14">
        <v>132</v>
      </c>
      <c r="M1196" s="14">
        <v>300</v>
      </c>
      <c r="N1196" s="14">
        <v>0</v>
      </c>
      <c r="O1196" s="16"/>
      <c r="P1196" s="6">
        <v>43384.95612268518</v>
      </c>
      <c r="Q1196" s="11"/>
      <c r="R1196" s="17" t="s">
        <v>152</v>
      </c>
      <c r="S1196" s="11"/>
      <c r="T1196" s="11"/>
      <c r="U1196" s="10" t="str">
        <f>HYPERLINK("https://pbs.twimg.com/profile_images/1050493441669562368/LLmfSs9m.jpg","View")</f>
        <v>View</v>
      </c>
    </row>
    <row r="1197" spans="1:21" ht="102">
      <c r="A1197" s="6">
        <v>43439.91915509259</v>
      </c>
      <c r="B1197" s="7" t="str">
        <f>HYPERLINK("https://twitter.com/VicenteTen","@VicenteTen")</f>
        <v>@VicenteTen</v>
      </c>
      <c r="C1197" s="8" t="s">
        <v>4140</v>
      </c>
      <c r="D1197" s="9" t="s">
        <v>4141</v>
      </c>
      <c r="E1197" s="10" t="str">
        <f>HYPERLINK("https://twitter.com/VicenteTen/status/1070423462039171076","1070423462039171076")</f>
        <v>1070423462039171076</v>
      </c>
      <c r="F1197" s="13" t="s">
        <v>4142</v>
      </c>
      <c r="G1197" s="13" t="s">
        <v>4107</v>
      </c>
      <c r="H1197" s="11"/>
      <c r="I1197" s="14">
        <v>29</v>
      </c>
      <c r="J1197" s="14">
        <v>42</v>
      </c>
      <c r="K1197" s="15" t="str">
        <f t="shared" si="251"/>
        <v>Twitter for iPhone</v>
      </c>
      <c r="L1197" s="14">
        <v>4307</v>
      </c>
      <c r="M1197" s="14">
        <v>670</v>
      </c>
      <c r="N1197" s="14">
        <v>84</v>
      </c>
      <c r="O1197" s="19" t="s">
        <v>42</v>
      </c>
      <c r="P1197" s="6">
        <v>42015.502372685187</v>
      </c>
      <c r="Q1197" s="12" t="s">
        <v>1928</v>
      </c>
      <c r="R1197" s="17" t="s">
        <v>4145</v>
      </c>
      <c r="S1197" s="13" t="s">
        <v>4147</v>
      </c>
      <c r="T1197" s="11"/>
      <c r="U1197" s="10" t="str">
        <f>HYPERLINK("https://pbs.twimg.com/profile_images/832244632637546496/d-StdO3m.jpg","View")</f>
        <v>View</v>
      </c>
    </row>
    <row r="1198" spans="1:21" ht="30.6">
      <c r="A1198" s="6">
        <v>43439.918749999997</v>
      </c>
      <c r="B1198" s="7" t="str">
        <f>HYPERLINK("https://twitter.com/COPE","@COPE")</f>
        <v>@COPE</v>
      </c>
      <c r="C1198" s="8" t="s">
        <v>3589</v>
      </c>
      <c r="D1198" s="9" t="s">
        <v>4150</v>
      </c>
      <c r="E1198" s="10" t="str">
        <f>HYPERLINK("https://twitter.com/COPE/status/1070423316400357376","1070423316400357376")</f>
        <v>1070423316400357376</v>
      </c>
      <c r="F1198" s="13" t="s">
        <v>4151</v>
      </c>
      <c r="G1198" s="11"/>
      <c r="H1198" s="11"/>
      <c r="I1198" s="14">
        <v>14</v>
      </c>
      <c r="J1198" s="14">
        <v>7</v>
      </c>
      <c r="K1198" s="15" t="str">
        <f>HYPERLINK("http://dogtrack.es","DogTrack_Oficial")</f>
        <v>DogTrack_Oficial</v>
      </c>
      <c r="L1198" s="14">
        <v>354193</v>
      </c>
      <c r="M1198" s="14">
        <v>150</v>
      </c>
      <c r="N1198" s="14">
        <v>3095</v>
      </c>
      <c r="O1198" s="19" t="s">
        <v>42</v>
      </c>
      <c r="P1198" s="6">
        <v>39381.538321759261</v>
      </c>
      <c r="Q1198" s="12" t="s">
        <v>60</v>
      </c>
      <c r="R1198" s="17" t="s">
        <v>3592</v>
      </c>
      <c r="S1198" s="13" t="s">
        <v>3593</v>
      </c>
      <c r="T1198" s="11"/>
      <c r="U1198" s="10" t="str">
        <f>HYPERLINK("https://pbs.twimg.com/profile_images/1063097716031533059/yAe1j-56.jpg","View")</f>
        <v>View</v>
      </c>
    </row>
    <row r="1199" spans="1:21" ht="51">
      <c r="A1199" s="6">
        <v>43439.918368055558</v>
      </c>
      <c r="B1199" s="7" t="str">
        <f>HYPERLINK("https://twitter.com/JuanUsategui","@JuanUsategui")</f>
        <v>@JuanUsategui</v>
      </c>
      <c r="C1199" s="8" t="s">
        <v>4160</v>
      </c>
      <c r="D1199" s="9" t="s">
        <v>4877</v>
      </c>
      <c r="E1199" s="10" t="str">
        <f>HYPERLINK("https://twitter.com/JuanUsategui/status/1070423177086554114","1070423177086554114")</f>
        <v>1070423177086554114</v>
      </c>
      <c r="F1199" s="11"/>
      <c r="G1199" s="11"/>
      <c r="H1199" s="11"/>
      <c r="I1199" s="14">
        <v>0</v>
      </c>
      <c r="J1199" s="14">
        <v>1</v>
      </c>
      <c r="K1199" s="15" t="str">
        <f>HYPERLINK("http://twitter.com/#!/download/ipad","Twitter for iPad")</f>
        <v>Twitter for iPad</v>
      </c>
      <c r="L1199" s="14">
        <v>228</v>
      </c>
      <c r="M1199" s="14">
        <v>667</v>
      </c>
      <c r="N1199" s="14">
        <v>0</v>
      </c>
      <c r="O1199" s="16"/>
      <c r="P1199" s="6">
        <v>42428.040138888886</v>
      </c>
      <c r="Q1199" s="12" t="s">
        <v>508</v>
      </c>
      <c r="R1199" s="17" t="s">
        <v>4162</v>
      </c>
      <c r="S1199" s="11"/>
      <c r="T1199" s="11"/>
      <c r="U1199" s="10" t="str">
        <f>HYPERLINK("https://pbs.twimg.com/profile_images/704070459042762752/SxNaT3nk.jpg","View")</f>
        <v>View</v>
      </c>
    </row>
    <row r="1200" spans="1:21" ht="51">
      <c r="A1200" s="6">
        <v>43439.91805555555</v>
      </c>
      <c r="B1200" s="7" t="str">
        <f>HYPERLINK("https://twitter.com/bitMomentum","@bitMomentum")</f>
        <v>@bitMomentum</v>
      </c>
      <c r="C1200" s="8" t="s">
        <v>1889</v>
      </c>
      <c r="D1200" s="9" t="s">
        <v>4154</v>
      </c>
      <c r="E1200" s="10" t="str">
        <f>HYPERLINK("https://twitter.com/bitMomentum/status/1070423062133252096","1070423062133252096")</f>
        <v>1070423062133252096</v>
      </c>
      <c r="F1200" s="11"/>
      <c r="G1200" s="11"/>
      <c r="H1200" s="11"/>
      <c r="I1200" s="14">
        <v>0</v>
      </c>
      <c r="J1200" s="14">
        <v>1</v>
      </c>
      <c r="K1200" s="15" t="str">
        <f>HYPERLINK("http://www.bitmomentum.com","bitMomentum Bot")</f>
        <v>bitMomentum Bot</v>
      </c>
      <c r="L1200" s="14">
        <v>10254</v>
      </c>
      <c r="M1200" s="14">
        <v>1059</v>
      </c>
      <c r="N1200" s="14">
        <v>263</v>
      </c>
      <c r="O1200" s="16"/>
      <c r="P1200" s="6">
        <v>41608.667511574073</v>
      </c>
      <c r="Q1200" s="11"/>
      <c r="R1200" s="17" t="s">
        <v>1897</v>
      </c>
      <c r="S1200" s="13" t="s">
        <v>1898</v>
      </c>
      <c r="T1200" s="11"/>
      <c r="U1200" s="10" t="str">
        <f>HYPERLINK("https://pbs.twimg.com/profile_images/378800000862185241/20ij2H3u.png","View")</f>
        <v>View</v>
      </c>
    </row>
    <row r="1201" spans="1:21" ht="71.400000000000006">
      <c r="A1201" s="6">
        <v>43439.917708333334</v>
      </c>
      <c r="B1201" s="7" t="str">
        <f>HYPERLINK("https://twitter.com/sepaesbi","@sepaesbi")</f>
        <v>@sepaesbi</v>
      </c>
      <c r="C1201" s="8" t="s">
        <v>4120</v>
      </c>
      <c r="D1201" s="9" t="s">
        <v>4159</v>
      </c>
      <c r="E1201" s="10" t="str">
        <f>HYPERLINK("https://twitter.com/sepaesbi/status/1070422936237027329","1070422936237027329")</f>
        <v>1070422936237027329</v>
      </c>
      <c r="F1201" s="12" t="s">
        <v>3484</v>
      </c>
      <c r="G1201" s="11"/>
      <c r="H1201" s="11"/>
      <c r="I1201" s="14">
        <v>1</v>
      </c>
      <c r="J1201" s="14">
        <v>0</v>
      </c>
      <c r="K1201" s="15" t="str">
        <f>HYPERLINK("https://mobile.twitter.com","Twitter Lite")</f>
        <v>Twitter Lite</v>
      </c>
      <c r="L1201" s="14">
        <v>69</v>
      </c>
      <c r="M1201" s="14">
        <v>278</v>
      </c>
      <c r="N1201" s="14">
        <v>1</v>
      </c>
      <c r="O1201" s="16"/>
      <c r="P1201" s="6">
        <v>41724.721539351856</v>
      </c>
      <c r="Q1201" s="11"/>
      <c r="R1201" s="18"/>
      <c r="S1201" s="11"/>
      <c r="T1201" s="11"/>
      <c r="U1201" s="19" t="s">
        <v>629</v>
      </c>
    </row>
    <row r="1202" spans="1:21" ht="40.799999999999997">
      <c r="A1202" s="6">
        <v>43439.917407407411</v>
      </c>
      <c r="B1202" s="7" t="str">
        <f>HYPERLINK("https://twitter.com/VTorroglosa","@VTorroglosa")</f>
        <v>@VTorroglosa</v>
      </c>
      <c r="C1202" s="8" t="s">
        <v>4882</v>
      </c>
      <c r="D1202" s="9" t="s">
        <v>4883</v>
      </c>
      <c r="E1202" s="10" t="str">
        <f>HYPERLINK("https://twitter.com/VTorroglosa/status/1070422829651410945","1070422829651410945")</f>
        <v>1070422829651410945</v>
      </c>
      <c r="F1202" s="11"/>
      <c r="G1202" s="11"/>
      <c r="H1202" s="11"/>
      <c r="I1202" s="14">
        <v>0</v>
      </c>
      <c r="J1202" s="14">
        <v>0</v>
      </c>
      <c r="K1202" s="15" t="str">
        <f>HYPERLINK("http://twitter.com/download/android","Twitter for Android")</f>
        <v>Twitter for Android</v>
      </c>
      <c r="L1202" s="14">
        <v>708</v>
      </c>
      <c r="M1202" s="14">
        <v>725</v>
      </c>
      <c r="N1202" s="14">
        <v>11</v>
      </c>
      <c r="O1202" s="16"/>
      <c r="P1202" s="6">
        <v>40825.780810185184</v>
      </c>
      <c r="Q1202" s="11"/>
      <c r="R1202" s="18"/>
      <c r="S1202" s="11"/>
      <c r="T1202" s="11"/>
      <c r="U1202" s="10" t="str">
        <f>HYPERLINK("https://pbs.twimg.com/profile_images/508619276513996801/1goRH8Xb.jpeg","View")</f>
        <v>View</v>
      </c>
    </row>
    <row r="1203" spans="1:21" ht="51">
      <c r="A1203" s="6">
        <v>43439.917361111111</v>
      </c>
      <c r="B1203" s="7" t="str">
        <f>HYPERLINK("https://twitter.com/bitMomentum","@bitMomentum")</f>
        <v>@bitMomentum</v>
      </c>
      <c r="C1203" s="8" t="s">
        <v>1889</v>
      </c>
      <c r="D1203" s="9" t="s">
        <v>4163</v>
      </c>
      <c r="E1203" s="10" t="str">
        <f>HYPERLINK("https://twitter.com/bitMomentum/status/1070422810621829120","1070422810621829120")</f>
        <v>1070422810621829120</v>
      </c>
      <c r="F1203" s="11"/>
      <c r="G1203" s="11"/>
      <c r="H1203" s="11"/>
      <c r="I1203" s="14">
        <v>1</v>
      </c>
      <c r="J1203" s="14">
        <v>1</v>
      </c>
      <c r="K1203" s="15" t="str">
        <f>HYPERLINK("http://www.bitmomentum.com","bitMomentum Bot")</f>
        <v>bitMomentum Bot</v>
      </c>
      <c r="L1203" s="14">
        <v>10254</v>
      </c>
      <c r="M1203" s="14">
        <v>1059</v>
      </c>
      <c r="N1203" s="14">
        <v>263</v>
      </c>
      <c r="O1203" s="16"/>
      <c r="P1203" s="6">
        <v>41608.667511574073</v>
      </c>
      <c r="Q1203" s="11"/>
      <c r="R1203" s="17" t="s">
        <v>1897</v>
      </c>
      <c r="S1203" s="13" t="s">
        <v>1898</v>
      </c>
      <c r="T1203" s="11"/>
      <c r="U1203" s="10" t="str">
        <f>HYPERLINK("https://pbs.twimg.com/profile_images/378800000862185241/20ij2H3u.png","View")</f>
        <v>View</v>
      </c>
    </row>
    <row r="1204" spans="1:21" ht="30.6">
      <c r="A1204" s="6">
        <v>43439.917083333334</v>
      </c>
      <c r="B1204" s="7" t="str">
        <f>HYPERLINK("https://twitter.com/InfoHeaders_Tes","@InfoHeaders_Tes")</f>
        <v>@InfoHeaders_Tes</v>
      </c>
      <c r="C1204" s="8" t="s">
        <v>3294</v>
      </c>
      <c r="D1204" s="9" t="s">
        <v>4887</v>
      </c>
      <c r="E1204" s="10" t="str">
        <f>HYPERLINK("https://twitter.com/InfoHeaders_Tes/status/1070422712558989322","1070422712558989322")</f>
        <v>1070422712558989322</v>
      </c>
      <c r="F1204" s="13" t="s">
        <v>4888</v>
      </c>
      <c r="G1204" s="11"/>
      <c r="H1204" s="11"/>
      <c r="I1204" s="14">
        <v>0</v>
      </c>
      <c r="J1204" s="14">
        <v>0</v>
      </c>
      <c r="K1204" s="15" t="str">
        <f>HYPERLINK("http://www.infoheaders.com","Send _Tw_INFH_Test")</f>
        <v>Send _Tw_INFH_Test</v>
      </c>
      <c r="L1204" s="14">
        <v>201</v>
      </c>
      <c r="M1204" s="14">
        <v>1</v>
      </c>
      <c r="N1204" s="14">
        <v>100</v>
      </c>
      <c r="O1204" s="16"/>
      <c r="P1204" s="6">
        <v>41315.710497685184</v>
      </c>
      <c r="Q1204" s="12" t="s">
        <v>137</v>
      </c>
      <c r="R1204" s="17" t="s">
        <v>3296</v>
      </c>
      <c r="S1204" s="13" t="s">
        <v>3297</v>
      </c>
      <c r="T1204" s="11"/>
      <c r="U1204" s="10" t="str">
        <f>HYPERLINK("https://pbs.twimg.com/profile_images/3234700567/566c3c8e394f76d77a41eafe1bfc7aa3.jpeg","View")</f>
        <v>View</v>
      </c>
    </row>
    <row r="1205" spans="1:21" ht="61.2">
      <c r="A1205" s="6">
        <v>43439.916747685187</v>
      </c>
      <c r="B1205" s="7" t="str">
        <f>HYPERLINK("https://twitter.com/Luis_Angel_Sanz","@Luis_Angel_Sanz")</f>
        <v>@Luis_Angel_Sanz</v>
      </c>
      <c r="C1205" s="8" t="s">
        <v>4164</v>
      </c>
      <c r="D1205" s="9" t="s">
        <v>4165</v>
      </c>
      <c r="E1205" s="10" t="str">
        <f>HYPERLINK("https://twitter.com/Luis_Angel_Sanz/status/1070422589682696194","1070422589682696194")</f>
        <v>1070422589682696194</v>
      </c>
      <c r="F1205" s="11"/>
      <c r="G1205" s="11"/>
      <c r="H1205" s="11"/>
      <c r="I1205" s="14">
        <v>1</v>
      </c>
      <c r="J1205" s="14">
        <v>1</v>
      </c>
      <c r="K1205" s="15" t="str">
        <f>HYPERLINK("http://twitter.com/download/android","Twitter for Android")</f>
        <v>Twitter for Android</v>
      </c>
      <c r="L1205" s="14">
        <v>6251</v>
      </c>
      <c r="M1205" s="14">
        <v>603</v>
      </c>
      <c r="N1205" s="14">
        <v>239</v>
      </c>
      <c r="O1205" s="16"/>
      <c r="P1205" s="6">
        <v>40627.717928240745</v>
      </c>
      <c r="Q1205" s="11"/>
      <c r="R1205" s="17" t="s">
        <v>4171</v>
      </c>
      <c r="S1205" s="13" t="s">
        <v>4172</v>
      </c>
      <c r="T1205" s="11"/>
      <c r="U1205" s="10" t="str">
        <f>HYPERLINK("https://pbs.twimg.com/profile_images/721718785758117888/6RQic_kb.jpg","View")</f>
        <v>View</v>
      </c>
    </row>
    <row r="1206" spans="1:21" ht="40.799999999999997">
      <c r="A1206" s="6">
        <v>43439.916678240741</v>
      </c>
      <c r="B1206" s="7" t="str">
        <f>HYPERLINK("https://twitter.com/pepecastellano","@pepecastellano")</f>
        <v>@pepecastellano</v>
      </c>
      <c r="C1206" s="8" t="s">
        <v>4892</v>
      </c>
      <c r="D1206" s="9" t="s">
        <v>4318</v>
      </c>
      <c r="E1206" s="10" t="str">
        <f>HYPERLINK("https://twitter.com/pepecastellano/status/1070422563480895491","1070422563480895491")</f>
        <v>1070422563480895491</v>
      </c>
      <c r="F1206" s="13" t="s">
        <v>4893</v>
      </c>
      <c r="G1206" s="11"/>
      <c r="H1206" s="11"/>
      <c r="I1206" s="14">
        <v>0</v>
      </c>
      <c r="J1206" s="14">
        <v>2</v>
      </c>
      <c r="K1206" s="15" t="str">
        <f>HYPERLINK("https://ifttt.com","IFTTT")</f>
        <v>IFTTT</v>
      </c>
      <c r="L1206" s="14">
        <v>2743</v>
      </c>
      <c r="M1206" s="14">
        <v>2802</v>
      </c>
      <c r="N1206" s="14">
        <v>150</v>
      </c>
      <c r="O1206" s="16"/>
      <c r="P1206" s="6">
        <v>39842.127002314817</v>
      </c>
      <c r="Q1206" s="12" t="s">
        <v>4895</v>
      </c>
      <c r="R1206" s="17" t="s">
        <v>4896</v>
      </c>
      <c r="S1206" s="13" t="s">
        <v>4897</v>
      </c>
      <c r="T1206" s="11"/>
      <c r="U1206" s="10" t="str">
        <f>HYPERLINK("https://pbs.twimg.com/profile_images/937426644402307073/6Ev2UaPn.jpg","View")</f>
        <v>View</v>
      </c>
    </row>
    <row r="1207" spans="1:21" ht="40.799999999999997">
      <c r="A1207" s="6">
        <v>43439.916666666672</v>
      </c>
      <c r="B1207" s="7" t="str">
        <f>HYPERLINK("https://twitter.com/El_Plural","@El_Plural")</f>
        <v>@El_Plural</v>
      </c>
      <c r="C1207" s="8" t="s">
        <v>884</v>
      </c>
      <c r="D1207" s="9" t="s">
        <v>4898</v>
      </c>
      <c r="E1207" s="10" t="str">
        <f>HYPERLINK("https://twitter.com/El_Plural/status/1070422559538040833","1070422559538040833")</f>
        <v>1070422559538040833</v>
      </c>
      <c r="F1207" s="13" t="s">
        <v>2517</v>
      </c>
      <c r="G1207" s="11"/>
      <c r="H1207" s="11"/>
      <c r="I1207" s="14">
        <v>8</v>
      </c>
      <c r="J1207" s="14">
        <v>7</v>
      </c>
      <c r="K1207" s="15" t="str">
        <f>HYPERLINK("https://about.twitter.com/products/tweetdeck","TweetDeck")</f>
        <v>TweetDeck</v>
      </c>
      <c r="L1207" s="14">
        <v>72031</v>
      </c>
      <c r="M1207" s="14">
        <v>1650</v>
      </c>
      <c r="N1207" s="14">
        <v>2018</v>
      </c>
      <c r="O1207" s="16"/>
      <c r="P1207" s="6">
        <v>40351.51053240741</v>
      </c>
      <c r="Q1207" s="12" t="s">
        <v>137</v>
      </c>
      <c r="R1207" s="17" t="s">
        <v>889</v>
      </c>
      <c r="S1207" s="13" t="s">
        <v>890</v>
      </c>
      <c r="T1207" s="11"/>
      <c r="U1207" s="10" t="str">
        <f>HYPERLINK("https://pbs.twimg.com/profile_images/1017707018138857473/kUt8X2tn.jpg","View")</f>
        <v>View</v>
      </c>
    </row>
    <row r="1208" spans="1:21" ht="91.8">
      <c r="A1208" s="6">
        <v>43439.916215277779</v>
      </c>
      <c r="B1208" s="7" t="str">
        <f>HYPERLINK("https://twitter.com/zuleimasoleil","@zuleimasoleil")</f>
        <v>@zuleimasoleil</v>
      </c>
      <c r="C1208" s="8" t="s">
        <v>4175</v>
      </c>
      <c r="D1208" s="9" t="s">
        <v>4176</v>
      </c>
      <c r="E1208" s="10" t="str">
        <f>HYPERLINK("https://twitter.com/zuleimasoleil/status/1070422397914877952","1070422397914877952")</f>
        <v>1070422397914877952</v>
      </c>
      <c r="F1208" s="13" t="s">
        <v>3279</v>
      </c>
      <c r="G1208" s="13" t="s">
        <v>3280</v>
      </c>
      <c r="H1208" s="11"/>
      <c r="I1208" s="14">
        <v>0</v>
      </c>
      <c r="J1208" s="14">
        <v>0</v>
      </c>
      <c r="K1208" s="15" t="str">
        <f t="shared" ref="K1208:K1209" si="252">HYPERLINK("http://twitter.com/download/android","Twitter for Android")</f>
        <v>Twitter for Android</v>
      </c>
      <c r="L1208" s="14">
        <v>317</v>
      </c>
      <c r="M1208" s="14">
        <v>670</v>
      </c>
      <c r="N1208" s="14">
        <v>10</v>
      </c>
      <c r="O1208" s="16"/>
      <c r="P1208" s="6">
        <v>42286.718171296292</v>
      </c>
      <c r="Q1208" s="12" t="s">
        <v>1785</v>
      </c>
      <c r="R1208" s="17" t="s">
        <v>4177</v>
      </c>
      <c r="S1208" s="11"/>
      <c r="T1208" s="11"/>
      <c r="U1208" s="10" t="str">
        <f>HYPERLINK("https://pbs.twimg.com/profile_images/844202041958436864/7jgQDrty.jpg","View")</f>
        <v>View</v>
      </c>
    </row>
    <row r="1209" spans="1:21" ht="40.799999999999997">
      <c r="A1209" s="6">
        <v>43439.915231481486</v>
      </c>
      <c r="B1209" s="7" t="str">
        <f>HYPERLINK("https://twitter.com/CiutadansBCN","@CiutadansBCN")</f>
        <v>@CiutadansBCN</v>
      </c>
      <c r="C1209" s="8" t="s">
        <v>4183</v>
      </c>
      <c r="D1209" s="9" t="s">
        <v>4185</v>
      </c>
      <c r="E1209" s="10" t="str">
        <f>HYPERLINK("https://twitter.com/CiutadansBCN/status/1070422041260670976","1070422041260670976")</f>
        <v>1070422041260670976</v>
      </c>
      <c r="F1209" s="11"/>
      <c r="G1209" s="13" t="s">
        <v>4188</v>
      </c>
      <c r="H1209" s="11"/>
      <c r="I1209" s="14">
        <v>9</v>
      </c>
      <c r="J1209" s="14">
        <v>12</v>
      </c>
      <c r="K1209" s="15" t="str">
        <f t="shared" si="252"/>
        <v>Twitter for Android</v>
      </c>
      <c r="L1209" s="14">
        <v>10534</v>
      </c>
      <c r="M1209" s="14">
        <v>1160</v>
      </c>
      <c r="N1209" s="14">
        <v>160</v>
      </c>
      <c r="O1209" s="19" t="s">
        <v>42</v>
      </c>
      <c r="P1209" s="6">
        <v>41542.555543981478</v>
      </c>
      <c r="Q1209" s="12" t="s">
        <v>83</v>
      </c>
      <c r="R1209" s="17" t="s">
        <v>4191</v>
      </c>
      <c r="S1209" s="13" t="s">
        <v>3185</v>
      </c>
      <c r="T1209" s="11"/>
      <c r="U1209" s="10" t="str">
        <f>HYPERLINK("https://pbs.twimg.com/profile_images/1016276658410737665/F8PlsPMo.jpg","View")</f>
        <v>View</v>
      </c>
    </row>
    <row r="1210" spans="1:21" ht="20.399999999999999">
      <c r="A1210" s="6">
        <v>43439.914513888885</v>
      </c>
      <c r="B1210" s="7" t="str">
        <f>HYPERLINK("https://twitter.com/elhuron2","@elhuron2")</f>
        <v>@elhuron2</v>
      </c>
      <c r="C1210" s="8" t="s">
        <v>3197</v>
      </c>
      <c r="D1210" s="9" t="s">
        <v>4905</v>
      </c>
      <c r="E1210" s="10" t="str">
        <f>HYPERLINK("https://twitter.com/elhuron2/status/1070421781205393408","1070421781205393408")</f>
        <v>1070421781205393408</v>
      </c>
      <c r="F1210" s="13" t="s">
        <v>4906</v>
      </c>
      <c r="G1210" s="11"/>
      <c r="H1210" s="11"/>
      <c r="I1210" s="14">
        <v>0</v>
      </c>
      <c r="J1210" s="14">
        <v>0</v>
      </c>
      <c r="K1210" s="15" t="str">
        <f>HYPERLINK("https://www.google.com/","Google")</f>
        <v>Google</v>
      </c>
      <c r="L1210" s="14">
        <v>412</v>
      </c>
      <c r="M1210" s="14">
        <v>501</v>
      </c>
      <c r="N1210" s="14">
        <v>6</v>
      </c>
      <c r="O1210" s="16"/>
      <c r="P1210" s="6">
        <v>41869.952997685185</v>
      </c>
      <c r="Q1210" s="12" t="s">
        <v>3202</v>
      </c>
      <c r="R1210" s="17" t="s">
        <v>3203</v>
      </c>
      <c r="S1210" s="13" t="s">
        <v>3204</v>
      </c>
      <c r="T1210" s="11"/>
      <c r="U1210" s="10" t="str">
        <f>HYPERLINK("https://pbs.twimg.com/profile_images/803176150629515264/heYiZScX.jpg","View")</f>
        <v>View</v>
      </c>
    </row>
    <row r="1211" spans="1:21" ht="40.799999999999997">
      <c r="A1211" s="6">
        <v>43439.914351851854</v>
      </c>
      <c r="B1211" s="7" t="str">
        <f>HYPERLINK("https://twitter.com/CsPinedadeMar","@CsPinedadeMar")</f>
        <v>@CsPinedadeMar</v>
      </c>
      <c r="C1211" s="8" t="s">
        <v>4192</v>
      </c>
      <c r="D1211" s="9" t="s">
        <v>4193</v>
      </c>
      <c r="E1211" s="10" t="str">
        <f>HYPERLINK("https://twitter.com/CsPinedadeMar/status/1070421722740994053","1070421722740994053")</f>
        <v>1070421722740994053</v>
      </c>
      <c r="F1211" s="11"/>
      <c r="G1211" s="13" t="s">
        <v>4194</v>
      </c>
      <c r="H1211" s="11"/>
      <c r="I1211" s="14">
        <v>3</v>
      </c>
      <c r="J1211" s="14">
        <v>8</v>
      </c>
      <c r="K1211" s="15" t="str">
        <f t="shared" ref="K1211:K1213" si="253">HYPERLINK("http://twitter.com/download/android","Twitter for Android")</f>
        <v>Twitter for Android</v>
      </c>
      <c r="L1211" s="14">
        <v>1564</v>
      </c>
      <c r="M1211" s="14">
        <v>2002</v>
      </c>
      <c r="N1211" s="14">
        <v>18</v>
      </c>
      <c r="O1211" s="16"/>
      <c r="P1211" s="6">
        <v>42047.590219907404</v>
      </c>
      <c r="Q1211" s="12" t="s">
        <v>4195</v>
      </c>
      <c r="R1211" s="17" t="s">
        <v>4196</v>
      </c>
      <c r="S1211" s="13" t="s">
        <v>3185</v>
      </c>
      <c r="T1211" s="11"/>
      <c r="U1211" s="10" t="str">
        <f>HYPERLINK("https://pbs.twimg.com/profile_images/912791577373880320/P14UaNnI.png","View")</f>
        <v>View</v>
      </c>
    </row>
    <row r="1212" spans="1:21" ht="40.799999999999997">
      <c r="A1212" s="6">
        <v>43439.912905092591</v>
      </c>
      <c r="B1212" s="7" t="str">
        <f>HYPERLINK("https://twitter.com/Carmealanaranja","@Carmealanaranja")</f>
        <v>@Carmealanaranja</v>
      </c>
      <c r="C1212" s="8" t="s">
        <v>4909</v>
      </c>
      <c r="D1212" s="9" t="s">
        <v>4910</v>
      </c>
      <c r="E1212" s="10" t="str">
        <f>HYPERLINK("https://twitter.com/Carmealanaranja/status/1070421194988498951","1070421194988498951")</f>
        <v>1070421194988498951</v>
      </c>
      <c r="F1212" s="11"/>
      <c r="G1212" s="13" t="s">
        <v>4911</v>
      </c>
      <c r="H1212" s="11"/>
      <c r="I1212" s="14">
        <v>5</v>
      </c>
      <c r="J1212" s="14">
        <v>22</v>
      </c>
      <c r="K1212" s="15" t="str">
        <f t="shared" si="253"/>
        <v>Twitter for Android</v>
      </c>
      <c r="L1212" s="14">
        <v>979</v>
      </c>
      <c r="M1212" s="14">
        <v>845</v>
      </c>
      <c r="N1212" s="14">
        <v>4</v>
      </c>
      <c r="O1212" s="16"/>
      <c r="P1212" s="6">
        <v>41346.787488425922</v>
      </c>
      <c r="Q1212" s="11"/>
      <c r="R1212" s="17" t="s">
        <v>4912</v>
      </c>
      <c r="S1212" s="11"/>
      <c r="T1212" s="11"/>
      <c r="U1212" s="10" t="str">
        <f>HYPERLINK("https://pbs.twimg.com/profile_images/1070071408817045509/jE6hOmYU.jpg","View")</f>
        <v>View</v>
      </c>
    </row>
    <row r="1213" spans="1:21" ht="30.6">
      <c r="A1213" s="6">
        <v>43439.910543981481</v>
      </c>
      <c r="B1213" s="7" t="str">
        <f>HYPERLINK("https://twitter.com/unkeptpromises_","@unkeptpromises_")</f>
        <v>@unkeptpromises_</v>
      </c>
      <c r="C1213" s="8" t="s">
        <v>4915</v>
      </c>
      <c r="D1213" s="9" t="s">
        <v>4916</v>
      </c>
      <c r="E1213" s="10" t="str">
        <f>HYPERLINK("https://twitter.com/unkeptpromises_/status/1070420342575955969","1070420342575955969")</f>
        <v>1070420342575955969</v>
      </c>
      <c r="F1213" s="13" t="s">
        <v>4918</v>
      </c>
      <c r="G1213" s="13" t="s">
        <v>4919</v>
      </c>
      <c r="H1213" s="11"/>
      <c r="I1213" s="14">
        <v>0</v>
      </c>
      <c r="J1213" s="14">
        <v>1</v>
      </c>
      <c r="K1213" s="15" t="str">
        <f t="shared" si="253"/>
        <v>Twitter for Android</v>
      </c>
      <c r="L1213" s="14">
        <v>1394</v>
      </c>
      <c r="M1213" s="14">
        <v>200</v>
      </c>
      <c r="N1213" s="14">
        <v>88</v>
      </c>
      <c r="O1213" s="16"/>
      <c r="P1213" s="6">
        <v>41350.868113425924</v>
      </c>
      <c r="Q1213" s="12" t="s">
        <v>4920</v>
      </c>
      <c r="R1213" s="17" t="s">
        <v>4921</v>
      </c>
      <c r="S1213" s="11"/>
      <c r="T1213" s="11"/>
      <c r="U1213" s="10" t="str">
        <f>HYPERLINK("https://pbs.twimg.com/profile_images/1007062579766747137/d4oxaXdm.jpg","View")</f>
        <v>View</v>
      </c>
    </row>
    <row r="1214" spans="1:21" ht="40.799999999999997">
      <c r="A1214" s="6">
        <v>43439.910231481481</v>
      </c>
      <c r="B1214" s="7" t="str">
        <f>HYPERLINK("https://twitter.com/Cs_Sitges","@Cs_Sitges")</f>
        <v>@Cs_Sitges</v>
      </c>
      <c r="C1214" s="8" t="s">
        <v>4197</v>
      </c>
      <c r="D1214" s="9" t="s">
        <v>4198</v>
      </c>
      <c r="E1214" s="10" t="str">
        <f>HYPERLINK("https://twitter.com/Cs_Sitges/status/1070420226947330062","1070420226947330062")</f>
        <v>1070420226947330062</v>
      </c>
      <c r="F1214" s="11"/>
      <c r="G1214" s="13" t="s">
        <v>4199</v>
      </c>
      <c r="H1214" s="11"/>
      <c r="I1214" s="14">
        <v>4</v>
      </c>
      <c r="J1214" s="14">
        <v>7</v>
      </c>
      <c r="K1214" s="15" t="str">
        <f>HYPERLINK("http://twitter.com/download/iphone","Twitter for iPhone")</f>
        <v>Twitter for iPhone</v>
      </c>
      <c r="L1214" s="14">
        <v>1102</v>
      </c>
      <c r="M1214" s="14">
        <v>626</v>
      </c>
      <c r="N1214" s="14">
        <v>28</v>
      </c>
      <c r="O1214" s="16"/>
      <c r="P1214" s="6">
        <v>40635.524143518516</v>
      </c>
      <c r="Q1214" s="12" t="s">
        <v>4200</v>
      </c>
      <c r="R1214" s="17" t="s">
        <v>4201</v>
      </c>
      <c r="S1214" s="11"/>
      <c r="T1214" s="11"/>
      <c r="U1214" s="10" t="str">
        <f>HYPERLINK("https://pbs.twimg.com/profile_images/906501192343330816/VSyGnLX7.jpg","View")</f>
        <v>View</v>
      </c>
    </row>
    <row r="1215" spans="1:21" ht="30.6">
      <c r="A1215" s="6">
        <v>43439.909722222219</v>
      </c>
      <c r="B1215" s="7" t="str">
        <f>HYPERLINK("https://twitter.com/sextaNoticias","@sextaNoticias")</f>
        <v>@sextaNoticias</v>
      </c>
      <c r="C1215" s="8" t="s">
        <v>3316</v>
      </c>
      <c r="D1215" s="9" t="s">
        <v>4927</v>
      </c>
      <c r="E1215" s="10" t="str">
        <f>HYPERLINK("https://twitter.com/sextaNoticias/status/1070420042054057984","1070420042054057984")</f>
        <v>1070420042054057984</v>
      </c>
      <c r="F1215" s="13" t="s">
        <v>4928</v>
      </c>
      <c r="G1215" s="11"/>
      <c r="H1215" s="11"/>
      <c r="I1215" s="14">
        <v>3</v>
      </c>
      <c r="J1215" s="14">
        <v>9</v>
      </c>
      <c r="K1215" s="15" t="str">
        <f>HYPERLINK("http://dogtrack.es","DogTrack_Oficial")</f>
        <v>DogTrack_Oficial</v>
      </c>
      <c r="L1215" s="14">
        <v>1112666</v>
      </c>
      <c r="M1215" s="14">
        <v>279</v>
      </c>
      <c r="N1215" s="14">
        <v>7291</v>
      </c>
      <c r="O1215" s="19" t="s">
        <v>42</v>
      </c>
      <c r="P1215" s="6">
        <v>40099.614328703705</v>
      </c>
      <c r="Q1215" s="11"/>
      <c r="R1215" s="17" t="s">
        <v>3319</v>
      </c>
      <c r="S1215" s="13" t="s">
        <v>3320</v>
      </c>
      <c r="T1215" s="11"/>
      <c r="U1215" s="10" t="str">
        <f>HYPERLINK("https://pbs.twimg.com/profile_images/898970208551022592/hh3ITSK-.jpg","View")</f>
        <v>View</v>
      </c>
    </row>
    <row r="1216" spans="1:21" ht="51">
      <c r="A1216" s="6">
        <v>43439.909456018519</v>
      </c>
      <c r="B1216" s="7" t="str">
        <f>HYPERLINK("https://twitter.com/jesule_cebolla","@jesule_cebolla")</f>
        <v>@jesule_cebolla</v>
      </c>
      <c r="C1216" s="8" t="s">
        <v>4202</v>
      </c>
      <c r="D1216" s="9" t="s">
        <v>4203</v>
      </c>
      <c r="E1216" s="10" t="str">
        <f>HYPERLINK("https://twitter.com/jesule_cebolla/status/1070419949166964737","1070419949166964737")</f>
        <v>1070419949166964737</v>
      </c>
      <c r="F1216" s="11"/>
      <c r="G1216" s="11"/>
      <c r="H1216" s="11"/>
      <c r="I1216" s="14">
        <v>0</v>
      </c>
      <c r="J1216" s="14">
        <v>0</v>
      </c>
      <c r="K1216" s="15" t="str">
        <f>HYPERLINK("http://twitter.com/download/android","Twitter for Android")</f>
        <v>Twitter for Android</v>
      </c>
      <c r="L1216" s="14">
        <v>97</v>
      </c>
      <c r="M1216" s="14">
        <v>246</v>
      </c>
      <c r="N1216" s="14">
        <v>0</v>
      </c>
      <c r="O1216" s="16"/>
      <c r="P1216" s="6">
        <v>40721.728587962964</v>
      </c>
      <c r="Q1216" s="12" t="s">
        <v>4204</v>
      </c>
      <c r="R1216" s="17" t="s">
        <v>4205</v>
      </c>
      <c r="S1216" s="11"/>
      <c r="T1216" s="11"/>
      <c r="U1216" s="10" t="str">
        <f>HYPERLINK("https://pbs.twimg.com/profile_images/1046529416963268609/6bh9pvpm.jpg","View")</f>
        <v>View</v>
      </c>
    </row>
    <row r="1217" spans="1:21" ht="102">
      <c r="A1217" s="6">
        <v>43439.907986111109</v>
      </c>
      <c r="B1217" s="7" t="str">
        <f>HYPERLINK("https://twitter.com/GuillermoDiazCs","@GuillermoDiazCs")</f>
        <v>@GuillermoDiazCs</v>
      </c>
      <c r="C1217" s="8" t="s">
        <v>4208</v>
      </c>
      <c r="D1217" s="9" t="s">
        <v>4209</v>
      </c>
      <c r="E1217" s="10" t="str">
        <f>HYPERLINK("https://twitter.com/GuillermoDiazCs/status/1070419413227192320","1070419413227192320")</f>
        <v>1070419413227192320</v>
      </c>
      <c r="F1217" s="13" t="s">
        <v>4106</v>
      </c>
      <c r="G1217" s="13" t="s">
        <v>4107</v>
      </c>
      <c r="H1217" s="11"/>
      <c r="I1217" s="14">
        <v>91</v>
      </c>
      <c r="J1217" s="14">
        <v>244</v>
      </c>
      <c r="K1217" s="15" t="str">
        <f>HYPERLINK("http://twitter.com/download/iphone","Twitter for iPhone")</f>
        <v>Twitter for iPhone</v>
      </c>
      <c r="L1217" s="14">
        <v>8210</v>
      </c>
      <c r="M1217" s="14">
        <v>2526</v>
      </c>
      <c r="N1217" s="14">
        <v>99</v>
      </c>
      <c r="O1217" s="19" t="s">
        <v>42</v>
      </c>
      <c r="P1217" s="6">
        <v>40477.985486111109</v>
      </c>
      <c r="Q1217" s="12" t="s">
        <v>137</v>
      </c>
      <c r="R1217" s="17" t="s">
        <v>4210</v>
      </c>
      <c r="S1217" s="13" t="s">
        <v>3185</v>
      </c>
      <c r="T1217" s="11"/>
      <c r="U1217" s="10" t="str">
        <f>HYPERLINK("https://pbs.twimg.com/profile_images/1059941636279541762/_k8xBdmd.jpg","View")</f>
        <v>View</v>
      </c>
    </row>
    <row r="1218" spans="1:21" ht="40.799999999999997">
      <c r="A1218" s="6">
        <v>43439.907754629632</v>
      </c>
      <c r="B1218" s="7" t="str">
        <f>HYPERLINK("https://twitter.com/jatirado","@jatirado")</f>
        <v>@jatirado</v>
      </c>
      <c r="C1218" s="8" t="s">
        <v>3517</v>
      </c>
      <c r="D1218" s="9" t="s">
        <v>4934</v>
      </c>
      <c r="E1218" s="10" t="str">
        <f>HYPERLINK("https://twitter.com/jatirado/status/1070419329915674624","1070419329915674624")</f>
        <v>1070419329915674624</v>
      </c>
      <c r="F1218" s="13" t="s">
        <v>4935</v>
      </c>
      <c r="G1218" s="13" t="s">
        <v>4936</v>
      </c>
      <c r="H1218" s="11"/>
      <c r="I1218" s="14">
        <v>0</v>
      </c>
      <c r="J1218" s="14">
        <v>1</v>
      </c>
      <c r="K1218" s="15" t="str">
        <f>HYPERLINK("https://dlvrit.com/","dlvr.it")</f>
        <v>dlvr.it</v>
      </c>
      <c r="L1218" s="14">
        <v>81545</v>
      </c>
      <c r="M1218" s="14">
        <v>49760</v>
      </c>
      <c r="N1218" s="14">
        <v>1030</v>
      </c>
      <c r="O1218" s="16"/>
      <c r="P1218" s="6">
        <v>40353.552581018521</v>
      </c>
      <c r="Q1218" s="12" t="s">
        <v>29</v>
      </c>
      <c r="R1218" s="17" t="s">
        <v>3522</v>
      </c>
      <c r="S1218" s="13" t="s">
        <v>3523</v>
      </c>
      <c r="T1218" s="11"/>
      <c r="U1218" s="10" t="str">
        <f>HYPERLINK("https://pbs.twimg.com/profile_images/485680559742791680/dg68o8vH.jpeg","View")</f>
        <v>View</v>
      </c>
    </row>
    <row r="1219" spans="1:21" ht="51">
      <c r="A1219" s="6">
        <v>43439.907395833332</v>
      </c>
      <c r="B1219" s="7" t="str">
        <f>HYPERLINK("https://twitter.com/YagoAlonsoBCN","@YagoAlonsoBCN")</f>
        <v>@YagoAlonsoBCN</v>
      </c>
      <c r="C1219" s="8" t="s">
        <v>4211</v>
      </c>
      <c r="D1219" s="9" t="s">
        <v>4212</v>
      </c>
      <c r="E1219" s="10" t="str">
        <f>HYPERLINK("https://twitter.com/YagoAlonsoBCN/status/1070419202455076865","1070419202455076865")</f>
        <v>1070419202455076865</v>
      </c>
      <c r="F1219" s="11"/>
      <c r="G1219" s="13" t="s">
        <v>4213</v>
      </c>
      <c r="H1219" s="11"/>
      <c r="I1219" s="14">
        <v>8</v>
      </c>
      <c r="J1219" s="14">
        <v>7</v>
      </c>
      <c r="K1219" s="15" t="str">
        <f>HYPERLINK("http://twitter.com/download/android","Twitter for Android")</f>
        <v>Twitter for Android</v>
      </c>
      <c r="L1219" s="14">
        <v>1255</v>
      </c>
      <c r="M1219" s="14">
        <v>597</v>
      </c>
      <c r="N1219" s="14">
        <v>27</v>
      </c>
      <c r="O1219" s="16"/>
      <c r="P1219" s="6">
        <v>40562.702650462961</v>
      </c>
      <c r="Q1219" s="12" t="s">
        <v>83</v>
      </c>
      <c r="R1219" s="17" t="s">
        <v>4214</v>
      </c>
      <c r="S1219" s="13" t="s">
        <v>4215</v>
      </c>
      <c r="T1219" s="11"/>
      <c r="U1219" s="10" t="str">
        <f>HYPERLINK("https://pbs.twimg.com/profile_images/952950344748883968/DpZGl7CR.jpg","View")</f>
        <v>View</v>
      </c>
    </row>
    <row r="1220" spans="1:21" ht="30.6">
      <c r="A1220" s="6">
        <v>43439.90625</v>
      </c>
      <c r="B1220" s="7" t="str">
        <f>HYPERLINK("https://twitter.com/laSextaTV","@laSextaTV")</f>
        <v>@laSextaTV</v>
      </c>
      <c r="C1220" s="8" t="s">
        <v>3110</v>
      </c>
      <c r="D1220" s="9" t="s">
        <v>4938</v>
      </c>
      <c r="E1220" s="10" t="str">
        <f>HYPERLINK("https://twitter.com/laSextaTV/status/1070418784433963008","1070418784433963008")</f>
        <v>1070418784433963008</v>
      </c>
      <c r="F1220" s="13" t="s">
        <v>4941</v>
      </c>
      <c r="G1220" s="11"/>
      <c r="H1220" s="11"/>
      <c r="I1220" s="14">
        <v>2</v>
      </c>
      <c r="J1220" s="14">
        <v>4</v>
      </c>
      <c r="K1220" s="15" t="str">
        <f>HYPERLINK("http://dogtrack.es","DogTrack_Oficial")</f>
        <v>DogTrack_Oficial</v>
      </c>
      <c r="L1220" s="14">
        <v>915221</v>
      </c>
      <c r="M1220" s="14">
        <v>307</v>
      </c>
      <c r="N1220" s="14">
        <v>5857</v>
      </c>
      <c r="O1220" s="19" t="s">
        <v>42</v>
      </c>
      <c r="P1220" s="6">
        <v>39877.804710648146</v>
      </c>
      <c r="Q1220" s="12" t="s">
        <v>181</v>
      </c>
      <c r="R1220" s="17" t="s">
        <v>3116</v>
      </c>
      <c r="S1220" s="13" t="s">
        <v>3117</v>
      </c>
      <c r="T1220" s="11"/>
      <c r="U1220" s="10" t="str">
        <f>HYPERLINK("https://pbs.twimg.com/profile_images/898966361426231296/0sS0RzFh.jpg","View")</f>
        <v>View</v>
      </c>
    </row>
    <row r="1221" spans="1:21" ht="40.799999999999997">
      <c r="A1221" s="6">
        <v>43439.905717592592</v>
      </c>
      <c r="B1221" s="7" t="str">
        <f>HYPERLINK("https://twitter.com/FrancisRubioGme","@FrancisRubioGme")</f>
        <v>@FrancisRubioGme</v>
      </c>
      <c r="C1221" s="8" t="s">
        <v>4216</v>
      </c>
      <c r="D1221" s="9" t="s">
        <v>4217</v>
      </c>
      <c r="E1221" s="10" t="str">
        <f>HYPERLINK("https://twitter.com/FrancisRubioGme/status/1070418592489975812","1070418592489975812")</f>
        <v>1070418592489975812</v>
      </c>
      <c r="F1221" s="11"/>
      <c r="G1221" s="13" t="s">
        <v>4218</v>
      </c>
      <c r="H1221" s="11"/>
      <c r="I1221" s="14">
        <v>22</v>
      </c>
      <c r="J1221" s="14">
        <v>18</v>
      </c>
      <c r="K1221" s="15" t="str">
        <f>HYPERLINK("http://twitter.com/download/iphone","Twitter for iPhone")</f>
        <v>Twitter for iPhone</v>
      </c>
      <c r="L1221" s="14">
        <v>23895</v>
      </c>
      <c r="M1221" s="14">
        <v>19949</v>
      </c>
      <c r="N1221" s="14">
        <v>175</v>
      </c>
      <c r="O1221" s="16"/>
      <c r="P1221" s="6">
        <v>41088.977650462963</v>
      </c>
      <c r="Q1221" s="11"/>
      <c r="R1221" s="17" t="s">
        <v>4219</v>
      </c>
      <c r="S1221" s="11"/>
      <c r="T1221" s="11"/>
      <c r="U1221" s="10" t="str">
        <f>HYPERLINK("https://pbs.twimg.com/profile_images/681576695044947970/pMNkJlo3.jpg","View")</f>
        <v>View</v>
      </c>
    </row>
    <row r="1222" spans="1:21" ht="40.799999999999997">
      <c r="A1222" s="6">
        <v>43439.904583333337</v>
      </c>
      <c r="B1222" s="7" t="str">
        <f>HYPERLINK("https://twitter.com/ivan_af92","@ivan_af92")</f>
        <v>@ivan_af92</v>
      </c>
      <c r="C1222" s="8" t="s">
        <v>4220</v>
      </c>
      <c r="D1222" s="9" t="s">
        <v>4221</v>
      </c>
      <c r="E1222" s="10" t="str">
        <f>HYPERLINK("https://twitter.com/ivan_af92/status/1070418179959205892","1070418179959205892")</f>
        <v>1070418179959205892</v>
      </c>
      <c r="F1222" s="13" t="s">
        <v>3809</v>
      </c>
      <c r="G1222" s="11"/>
      <c r="H1222" s="11"/>
      <c r="I1222" s="14">
        <v>0</v>
      </c>
      <c r="J1222" s="14">
        <v>2</v>
      </c>
      <c r="K1222" s="15" t="str">
        <f>HYPERLINK("http://twitter.com/#!/download/ipad","Twitter for iPad")</f>
        <v>Twitter for iPad</v>
      </c>
      <c r="L1222" s="14">
        <v>1208</v>
      </c>
      <c r="M1222" s="14">
        <v>2138</v>
      </c>
      <c r="N1222" s="14">
        <v>20</v>
      </c>
      <c r="O1222" s="16"/>
      <c r="P1222" s="6">
        <v>40671.013692129629</v>
      </c>
      <c r="Q1222" s="11"/>
      <c r="R1222" s="17" t="s">
        <v>4222</v>
      </c>
      <c r="S1222" s="11"/>
      <c r="T1222" s="11"/>
      <c r="U1222" s="10" t="str">
        <f>HYPERLINK("https://pbs.twimg.com/profile_images/1042488659776360448/Iu9gvkN8.jpg","View")</f>
        <v>View</v>
      </c>
    </row>
    <row r="1223" spans="1:21" ht="20.399999999999999">
      <c r="A1223" s="6">
        <v>43439.904317129629</v>
      </c>
      <c r="B1223" s="7" t="str">
        <f>HYPERLINK("https://twitter.com/lygofukisoby","@lygofukisoby")</f>
        <v>@lygofukisoby</v>
      </c>
      <c r="C1223" s="8" t="s">
        <v>3509</v>
      </c>
      <c r="D1223" s="9" t="s">
        <v>4934</v>
      </c>
      <c r="E1223" s="10" t="str">
        <f>HYPERLINK("https://twitter.com/lygofukisoby/status/1070418084647878656","1070418084647878656")</f>
        <v>1070418084647878656</v>
      </c>
      <c r="F1223" s="11"/>
      <c r="G1223" s="13" t="s">
        <v>4948</v>
      </c>
      <c r="H1223" s="11"/>
      <c r="I1223" s="14">
        <v>0</v>
      </c>
      <c r="J1223" s="14">
        <v>0</v>
      </c>
      <c r="K1223" s="15" t="str">
        <f>HYPERLINK("https://ifttt.com","IFTTT")</f>
        <v>IFTTT</v>
      </c>
      <c r="L1223" s="14">
        <v>52</v>
      </c>
      <c r="M1223" s="14">
        <v>79</v>
      </c>
      <c r="N1223" s="14">
        <v>3</v>
      </c>
      <c r="O1223" s="16"/>
      <c r="P1223" s="6">
        <v>41706.167800925927</v>
      </c>
      <c r="Q1223" s="12" t="s">
        <v>3514</v>
      </c>
      <c r="R1223" s="17" t="s">
        <v>3516</v>
      </c>
      <c r="S1223" s="11"/>
      <c r="T1223" s="11"/>
      <c r="U1223" s="10" t="str">
        <f>HYPERLINK("https://pbs.twimg.com/profile_images/456020719474733056/_aI4ObiR.jpeg","View")</f>
        <v>View</v>
      </c>
    </row>
    <row r="1224" spans="1:21" ht="30.6">
      <c r="A1224" s="6">
        <v>43439.90053240741</v>
      </c>
      <c r="B1224" s="7" t="str">
        <f>HYPERLINK("https://twitter.com/Conde_Duque","@Conde_Duque")</f>
        <v>@Conde_Duque</v>
      </c>
      <c r="C1224" s="8" t="s">
        <v>2211</v>
      </c>
      <c r="D1224" s="9" t="s">
        <v>4949</v>
      </c>
      <c r="E1224" s="10" t="str">
        <f>HYPERLINK("https://twitter.com/Conde_Duque/status/1070416712229638144","1070416712229638144")</f>
        <v>1070416712229638144</v>
      </c>
      <c r="F1224" s="13" t="s">
        <v>4950</v>
      </c>
      <c r="G1224" s="13" t="s">
        <v>4951</v>
      </c>
      <c r="H1224" s="11"/>
      <c r="I1224" s="14">
        <v>0</v>
      </c>
      <c r="J1224" s="14">
        <v>0</v>
      </c>
      <c r="K1224" s="15" t="str">
        <f t="shared" ref="K1224:K1225" si="254">HYPERLINK("http://twitter.com/download/iphone","Twitter for iPhone")</f>
        <v>Twitter for iPhone</v>
      </c>
      <c r="L1224" s="14">
        <v>1378</v>
      </c>
      <c r="M1224" s="14">
        <v>2412</v>
      </c>
      <c r="N1224" s="14">
        <v>0</v>
      </c>
      <c r="O1224" s="16"/>
      <c r="P1224" s="6">
        <v>40017.274270833332</v>
      </c>
      <c r="Q1224" s="12" t="s">
        <v>2214</v>
      </c>
      <c r="R1224" s="17" t="s">
        <v>2215</v>
      </c>
      <c r="S1224" s="11"/>
      <c r="T1224" s="11"/>
      <c r="U1224" s="10" t="str">
        <f>HYPERLINK("https://pbs.twimg.com/profile_images/327670567/IMG00225-20090612-1848.jpg","View")</f>
        <v>View</v>
      </c>
    </row>
    <row r="1225" spans="1:21" ht="20.399999999999999">
      <c r="A1225" s="6">
        <v>43439.900405092594</v>
      </c>
      <c r="B1225" s="7" t="str">
        <f>HYPERLINK("https://twitter.com/khrourouchilham","@khrourouchilham")</f>
        <v>@khrourouchilham</v>
      </c>
      <c r="C1225" s="8" t="s">
        <v>4223</v>
      </c>
      <c r="D1225" s="9" t="s">
        <v>4224</v>
      </c>
      <c r="E1225" s="10" t="str">
        <f>HYPERLINK("https://twitter.com/khrourouchilham/status/1070416669091225603","1070416669091225603")</f>
        <v>1070416669091225603</v>
      </c>
      <c r="F1225" s="11"/>
      <c r="G1225" s="11"/>
      <c r="H1225" s="11"/>
      <c r="I1225" s="14">
        <v>0</v>
      </c>
      <c r="J1225" s="14">
        <v>0</v>
      </c>
      <c r="K1225" s="15" t="str">
        <f t="shared" si="254"/>
        <v>Twitter for iPhone</v>
      </c>
      <c r="L1225" s="14">
        <v>64</v>
      </c>
      <c r="M1225" s="14">
        <v>166</v>
      </c>
      <c r="N1225" s="14">
        <v>0</v>
      </c>
      <c r="O1225" s="16"/>
      <c r="P1225" s="6">
        <v>43391.951168981483</v>
      </c>
      <c r="Q1225" s="11"/>
      <c r="R1225" s="17" t="s">
        <v>4225</v>
      </c>
      <c r="S1225" s="11"/>
      <c r="T1225" s="11"/>
      <c r="U1225" s="10" t="str">
        <f>HYPERLINK("https://pbs.twimg.com/profile_images/1053026466198421506/WcPdmhHN.jpg","View")</f>
        <v>View</v>
      </c>
    </row>
    <row r="1226" spans="1:21" ht="30.6">
      <c r="A1226" s="6">
        <v>43439.898645833338</v>
      </c>
      <c r="B1226" s="7" t="str">
        <f>HYPERLINK("https://twitter.com/pallaron12","@pallaron12")</f>
        <v>@pallaron12</v>
      </c>
      <c r="C1226" s="8" t="s">
        <v>4953</v>
      </c>
      <c r="D1226" s="9" t="s">
        <v>3290</v>
      </c>
      <c r="E1226" s="10" t="str">
        <f>HYPERLINK("https://twitter.com/pallaron12/status/1070416029757648897","1070416029757648897")</f>
        <v>1070416029757648897</v>
      </c>
      <c r="F1226" s="13" t="s">
        <v>4954</v>
      </c>
      <c r="G1226" s="11"/>
      <c r="H1226" s="11"/>
      <c r="I1226" s="14">
        <v>0</v>
      </c>
      <c r="J1226" s="14">
        <v>0</v>
      </c>
      <c r="K1226" s="15" t="str">
        <f>HYPERLINK("http://twitter.com/download/android","Twitter for Android")</f>
        <v>Twitter for Android</v>
      </c>
      <c r="L1226" s="14">
        <v>1481</v>
      </c>
      <c r="M1226" s="14">
        <v>551</v>
      </c>
      <c r="N1226" s="14">
        <v>8</v>
      </c>
      <c r="O1226" s="16"/>
      <c r="P1226" s="6">
        <v>41854.66134259259</v>
      </c>
      <c r="Q1226" s="12" t="s">
        <v>4957</v>
      </c>
      <c r="R1226" s="17" t="s">
        <v>4958</v>
      </c>
      <c r="S1226" s="11"/>
      <c r="T1226" s="11"/>
      <c r="U1226" s="10" t="str">
        <f>HYPERLINK("https://pbs.twimg.com/profile_images/1064713832633896961/NkwZ7D9D.jpg","View")</f>
        <v>View</v>
      </c>
    </row>
    <row r="1227" spans="1:21" ht="20.399999999999999">
      <c r="A1227" s="6">
        <v>43439.89844907407</v>
      </c>
      <c r="B1227" s="7" t="str">
        <f>HYPERLINK("https://twitter.com/amorindepe","@amorindepe")</f>
        <v>@amorindepe</v>
      </c>
      <c r="C1227" s="8" t="s">
        <v>4227</v>
      </c>
      <c r="D1227" s="9" t="s">
        <v>4229</v>
      </c>
      <c r="E1227" s="10" t="str">
        <f>HYPERLINK("https://twitter.com/amorindepe/status/1070415956906786816","1070415956906786816")</f>
        <v>1070415956906786816</v>
      </c>
      <c r="F1227" s="13" t="s">
        <v>4232</v>
      </c>
      <c r="G1227" s="11"/>
      <c r="H1227" s="11"/>
      <c r="I1227" s="14">
        <v>0</v>
      </c>
      <c r="J1227" s="14">
        <v>0</v>
      </c>
      <c r="K1227" s="15" t="str">
        <f>HYPERLINK("http://www.loveisintheair.org","LoveSongs")</f>
        <v>LoveSongs</v>
      </c>
      <c r="L1227" s="14">
        <v>4</v>
      </c>
      <c r="M1227" s="14">
        <v>0</v>
      </c>
      <c r="N1227" s="14">
        <v>0</v>
      </c>
      <c r="O1227" s="16"/>
      <c r="P1227" s="6">
        <v>43017.064756944441</v>
      </c>
      <c r="Q1227" s="11"/>
      <c r="R1227" s="18"/>
      <c r="S1227" s="11"/>
      <c r="T1227" s="11"/>
      <c r="U1227" s="10" t="str">
        <f>HYPERLINK("https://pbs.twimg.com/profile_images/917175245374742529/UdutrHy-.jpg","View")</f>
        <v>View</v>
      </c>
    </row>
    <row r="1228" spans="1:21" ht="61.2">
      <c r="A1228" s="6">
        <v>43439.898043981477</v>
      </c>
      <c r="B1228" s="7" t="str">
        <f>HYPERLINK("https://twitter.com/TRAGATEL0","@TRAGATEL0")</f>
        <v>@TRAGATEL0</v>
      </c>
      <c r="C1228" s="8" t="s">
        <v>2656</v>
      </c>
      <c r="D1228" s="9" t="s">
        <v>4961</v>
      </c>
      <c r="E1228" s="10" t="str">
        <f>HYPERLINK("https://twitter.com/TRAGATEL0/status/1070415810907332609","1070415810907332609")</f>
        <v>1070415810907332609</v>
      </c>
      <c r="F1228" s="11"/>
      <c r="G1228" s="11"/>
      <c r="H1228" s="11"/>
      <c r="I1228" s="14">
        <v>9</v>
      </c>
      <c r="J1228" s="14">
        <v>14</v>
      </c>
      <c r="K1228" s="15" t="str">
        <f>HYPERLINK("http://twitter.com","Twitter Web Client")</f>
        <v>Twitter Web Client</v>
      </c>
      <c r="L1228" s="14">
        <v>2867</v>
      </c>
      <c r="M1228" s="14">
        <v>3352</v>
      </c>
      <c r="N1228" s="14">
        <v>50</v>
      </c>
      <c r="O1228" s="16"/>
      <c r="P1228" s="6">
        <v>42600.667349537034</v>
      </c>
      <c r="Q1228" s="11"/>
      <c r="R1228" s="17" t="s">
        <v>2661</v>
      </c>
      <c r="S1228" s="13" t="s">
        <v>2662</v>
      </c>
      <c r="T1228" s="11"/>
      <c r="U1228" s="10" t="str">
        <f>HYPERLINK("https://pbs.twimg.com/profile_images/991752424602980352/Tbez7IZi.jpg","View")</f>
        <v>View</v>
      </c>
    </row>
    <row r="1229" spans="1:21" ht="20.399999999999999">
      <c r="A1229" s="6">
        <v>43439.897569444445</v>
      </c>
      <c r="B1229" s="7" t="str">
        <f>HYPERLINK("https://twitter.com/CsRoquetasdeMar","@CsRoquetasdeMar")</f>
        <v>@CsRoquetasdeMar</v>
      </c>
      <c r="C1229" s="8" t="s">
        <v>4236</v>
      </c>
      <c r="D1229" s="9" t="s">
        <v>4237</v>
      </c>
      <c r="E1229" s="10" t="str">
        <f>HYPERLINK("https://twitter.com/CsRoquetasdeMar/status/1070415639255375872","1070415639255375872")</f>
        <v>1070415639255375872</v>
      </c>
      <c r="F1229" s="13" t="s">
        <v>4238</v>
      </c>
      <c r="G1229" s="13" t="s">
        <v>4239</v>
      </c>
      <c r="H1229" s="11"/>
      <c r="I1229" s="14">
        <v>6</v>
      </c>
      <c r="J1229" s="14">
        <v>10</v>
      </c>
      <c r="K1229" s="15" t="str">
        <f t="shared" ref="K1229:K1233" si="255">HYPERLINK("http://twitter.com/download/android","Twitter for Android")</f>
        <v>Twitter for Android</v>
      </c>
      <c r="L1229" s="14">
        <v>1969</v>
      </c>
      <c r="M1229" s="14">
        <v>872</v>
      </c>
      <c r="N1229" s="14">
        <v>32</v>
      </c>
      <c r="O1229" s="16"/>
      <c r="P1229" s="6">
        <v>41873.018761574072</v>
      </c>
      <c r="Q1229" s="12" t="s">
        <v>4240</v>
      </c>
      <c r="R1229" s="17" t="s">
        <v>4241</v>
      </c>
      <c r="S1229" s="13" t="s">
        <v>4242</v>
      </c>
      <c r="T1229" s="11"/>
      <c r="U1229" s="10" t="str">
        <f>HYPERLINK("https://pbs.twimg.com/profile_images/899375488979927042/0OQvn6JM.jpg","View")</f>
        <v>View</v>
      </c>
    </row>
    <row r="1230" spans="1:21" ht="102">
      <c r="A1230" s="6">
        <v>43439.896840277783</v>
      </c>
      <c r="B1230" s="7" t="str">
        <f>HYPERLINK("https://twitter.com/Mespe63","@Mespe63")</f>
        <v>@Mespe63</v>
      </c>
      <c r="C1230" s="8" t="s">
        <v>4244</v>
      </c>
      <c r="D1230" s="9" t="s">
        <v>4246</v>
      </c>
      <c r="E1230" s="10" t="str">
        <f>HYPERLINK("https://twitter.com/Mespe63/status/1070415375588831233","1070415375588831233")</f>
        <v>1070415375588831233</v>
      </c>
      <c r="F1230" s="13" t="s">
        <v>4248</v>
      </c>
      <c r="G1230" s="13" t="s">
        <v>4249</v>
      </c>
      <c r="H1230" s="11"/>
      <c r="I1230" s="14">
        <v>0</v>
      </c>
      <c r="J1230" s="14">
        <v>1</v>
      </c>
      <c r="K1230" s="15" t="str">
        <f t="shared" si="255"/>
        <v>Twitter for Android</v>
      </c>
      <c r="L1230" s="14">
        <v>330</v>
      </c>
      <c r="M1230" s="14">
        <v>428</v>
      </c>
      <c r="N1230" s="14">
        <v>5</v>
      </c>
      <c r="O1230" s="16"/>
      <c r="P1230" s="6">
        <v>40631.879004629627</v>
      </c>
      <c r="Q1230" s="12" t="s">
        <v>83</v>
      </c>
      <c r="R1230" s="17" t="s">
        <v>4253</v>
      </c>
      <c r="S1230" s="11"/>
      <c r="T1230" s="11"/>
      <c r="U1230" s="10" t="str">
        <f>HYPERLINK("https://pbs.twimg.com/profile_images/1012596798614130688/MrC20cws.jpg","View")</f>
        <v>View</v>
      </c>
    </row>
    <row r="1231" spans="1:21" ht="51">
      <c r="A1231" s="6">
        <v>43439.895104166666</v>
      </c>
      <c r="B1231" s="7" t="str">
        <f>HYPERLINK("https://twitter.com/luisangeljim","@luisangeljim")</f>
        <v>@luisangeljim</v>
      </c>
      <c r="C1231" s="8" t="s">
        <v>4254</v>
      </c>
      <c r="D1231" s="9" t="s">
        <v>4255</v>
      </c>
      <c r="E1231" s="10" t="str">
        <f>HYPERLINK("https://twitter.com/luisangeljim/status/1070414748162768896","1070414748162768896")</f>
        <v>1070414748162768896</v>
      </c>
      <c r="F1231" s="12" t="s">
        <v>4256</v>
      </c>
      <c r="G1231" s="11"/>
      <c r="H1231" s="11"/>
      <c r="I1231" s="14">
        <v>0</v>
      </c>
      <c r="J1231" s="14">
        <v>0</v>
      </c>
      <c r="K1231" s="15" t="str">
        <f t="shared" si="255"/>
        <v>Twitter for Android</v>
      </c>
      <c r="L1231" s="14">
        <v>53</v>
      </c>
      <c r="M1231" s="14">
        <v>105</v>
      </c>
      <c r="N1231" s="14">
        <v>5</v>
      </c>
      <c r="O1231" s="16"/>
      <c r="P1231" s="6">
        <v>41698.810659722221</v>
      </c>
      <c r="Q1231" s="12" t="s">
        <v>4257</v>
      </c>
      <c r="R1231" s="17" t="s">
        <v>4258</v>
      </c>
      <c r="S1231" s="11"/>
      <c r="T1231" s="11"/>
      <c r="U1231" s="10" t="str">
        <f>HYPERLINK("https://pbs.twimg.com/profile_images/445303080595095552/8_Fh_qiA.jpeg","View")</f>
        <v>View</v>
      </c>
    </row>
    <row r="1232" spans="1:21" ht="61.2">
      <c r="A1232" s="6">
        <v>43439.894849537042</v>
      </c>
      <c r="B1232" s="7" t="str">
        <f>HYPERLINK("https://twitter.com/mendy_asigc","@mendy_asigc")</f>
        <v>@mendy_asigc</v>
      </c>
      <c r="C1232" s="8" t="s">
        <v>4259</v>
      </c>
      <c r="D1232" s="9" t="s">
        <v>4260</v>
      </c>
      <c r="E1232" s="10" t="str">
        <f>HYPERLINK("https://twitter.com/mendy_asigc/status/1070414652859912194","1070414652859912194")</f>
        <v>1070414652859912194</v>
      </c>
      <c r="F1232" s="11"/>
      <c r="G1232" s="13" t="s">
        <v>4261</v>
      </c>
      <c r="H1232" s="11"/>
      <c r="I1232" s="14">
        <v>35</v>
      </c>
      <c r="J1232" s="14">
        <v>35</v>
      </c>
      <c r="K1232" s="15" t="str">
        <f t="shared" si="255"/>
        <v>Twitter for Android</v>
      </c>
      <c r="L1232" s="14">
        <v>21319</v>
      </c>
      <c r="M1232" s="14">
        <v>17251</v>
      </c>
      <c r="N1232" s="14">
        <v>139</v>
      </c>
      <c r="O1232" s="16"/>
      <c r="P1232" s="6">
        <v>41700.966643518521</v>
      </c>
      <c r="Q1232" s="12" t="s">
        <v>4262</v>
      </c>
      <c r="R1232" s="17" t="s">
        <v>4263</v>
      </c>
      <c r="S1232" s="13" t="s">
        <v>4264</v>
      </c>
      <c r="T1232" s="11"/>
      <c r="U1232" s="10" t="str">
        <f>HYPERLINK("https://pbs.twimg.com/profile_images/940576665855516672/TEEkisxK.jpg","View")</f>
        <v>View</v>
      </c>
    </row>
    <row r="1233" spans="1:21" ht="61.2">
      <c r="A1233" s="6">
        <v>43439.893182870372</v>
      </c>
      <c r="B1233" s="7" t="str">
        <f>HYPERLINK("https://twitter.com/Cs_Gava","@Cs_Gava")</f>
        <v>@Cs_Gava</v>
      </c>
      <c r="C1233" s="8" t="s">
        <v>4265</v>
      </c>
      <c r="D1233" s="9" t="s">
        <v>4266</v>
      </c>
      <c r="E1233" s="10" t="str">
        <f>HYPERLINK("https://twitter.com/Cs_Gava/status/1070414051900043269","1070414051900043269")</f>
        <v>1070414051900043269</v>
      </c>
      <c r="F1233" s="11"/>
      <c r="G1233" s="13" t="s">
        <v>4267</v>
      </c>
      <c r="H1233" s="11"/>
      <c r="I1233" s="14">
        <v>1</v>
      </c>
      <c r="J1233" s="14">
        <v>4</v>
      </c>
      <c r="K1233" s="15" t="str">
        <f t="shared" si="255"/>
        <v>Twitter for Android</v>
      </c>
      <c r="L1233" s="14">
        <v>1005</v>
      </c>
      <c r="M1233" s="14">
        <v>628</v>
      </c>
      <c r="N1233" s="14">
        <v>28</v>
      </c>
      <c r="O1233" s="16"/>
      <c r="P1233" s="6">
        <v>40823.571863425925</v>
      </c>
      <c r="Q1233" s="12" t="s">
        <v>4271</v>
      </c>
      <c r="R1233" s="18"/>
      <c r="S1233" s="13" t="s">
        <v>4272</v>
      </c>
      <c r="T1233" s="11"/>
      <c r="U1233" s="10" t="str">
        <f>HYPERLINK("https://pbs.twimg.com/profile_images/950651781415088128/UDP6897l.jpg","View")</f>
        <v>View</v>
      </c>
    </row>
    <row r="1234" spans="1:21" ht="40.799999999999997">
      <c r="A1234" s="6">
        <v>43439.893032407403</v>
      </c>
      <c r="B1234" s="7" t="str">
        <f>HYPERLINK("https://twitter.com/comentaconjose","@comentaconjose")</f>
        <v>@comentaconjose</v>
      </c>
      <c r="C1234" s="8" t="s">
        <v>4977</v>
      </c>
      <c r="D1234" s="9" t="s">
        <v>4065</v>
      </c>
      <c r="E1234" s="10" t="str">
        <f>HYPERLINK("https://twitter.com/comentaconjose/status/1070413996665331713","1070413996665331713")</f>
        <v>1070413996665331713</v>
      </c>
      <c r="F1234" s="13" t="s">
        <v>3869</v>
      </c>
      <c r="G1234" s="11"/>
      <c r="H1234" s="11"/>
      <c r="I1234" s="14">
        <v>0</v>
      </c>
      <c r="J1234" s="14">
        <v>1</v>
      </c>
      <c r="K1234" s="15" t="str">
        <f>HYPERLINK("http://twitter.com","Twitter Web Client")</f>
        <v>Twitter Web Client</v>
      </c>
      <c r="L1234" s="14">
        <v>310913</v>
      </c>
      <c r="M1234" s="14">
        <v>170870</v>
      </c>
      <c r="N1234" s="14">
        <v>662</v>
      </c>
      <c r="O1234" s="16"/>
      <c r="P1234" s="6">
        <v>41028.801041666666</v>
      </c>
      <c r="Q1234" s="12" t="s">
        <v>4978</v>
      </c>
      <c r="R1234" s="17" t="s">
        <v>4979</v>
      </c>
      <c r="S1234" s="13" t="s">
        <v>4980</v>
      </c>
      <c r="T1234" s="11"/>
      <c r="U1234" s="10" t="str">
        <f>HYPERLINK("https://pbs.twimg.com/profile_images/936301220297363456/z0cOp2hD.jpg","View")</f>
        <v>View</v>
      </c>
    </row>
    <row r="1235" spans="1:21" ht="20.399999999999999">
      <c r="A1235" s="6">
        <v>43439.892581018517</v>
      </c>
      <c r="B1235" s="7" t="str">
        <f>HYPERLINK("https://twitter.com/RTn_gerona","@RTn_gerona")</f>
        <v>@RTn_gerona</v>
      </c>
      <c r="C1235" s="8" t="s">
        <v>4985</v>
      </c>
      <c r="D1235" s="9" t="s">
        <v>4986</v>
      </c>
      <c r="E1235" s="10" t="str">
        <f>HYPERLINK("https://twitter.com/RTn_gerona/status/1070413830889594886","1070413830889594886")</f>
        <v>1070413830889594886</v>
      </c>
      <c r="F1235" s="13" t="s">
        <v>4987</v>
      </c>
      <c r="G1235" s="11"/>
      <c r="H1235" s="11"/>
      <c r="I1235" s="14">
        <v>0</v>
      </c>
      <c r="J1235" s="14">
        <v>0</v>
      </c>
      <c r="K1235" s="15" t="str">
        <f>HYPERLINK("https://ifttt.com","IFTTT")</f>
        <v>IFTTT</v>
      </c>
      <c r="L1235" s="14">
        <v>308</v>
      </c>
      <c r="M1235" s="14">
        <v>1273</v>
      </c>
      <c r="N1235" s="14">
        <v>6</v>
      </c>
      <c r="O1235" s="16"/>
      <c r="P1235" s="6">
        <v>42413.593726851846</v>
      </c>
      <c r="Q1235" s="12" t="s">
        <v>4991</v>
      </c>
      <c r="R1235" s="17" t="s">
        <v>4992</v>
      </c>
      <c r="S1235" s="13" t="s">
        <v>4993</v>
      </c>
      <c r="T1235" s="11"/>
      <c r="U1235" s="10" t="str">
        <f>HYPERLINK("https://pbs.twimg.com/profile_images/953658392819699713/OMisY43A.jpg","View")</f>
        <v>View</v>
      </c>
    </row>
    <row r="1236" spans="1:21" ht="51">
      <c r="A1236" s="6">
        <v>43439.89230324074</v>
      </c>
      <c r="B1236" s="7" t="str">
        <f>HYPERLINK("https://twitter.com/CurroTroya","@CurroTroya")</f>
        <v>@CurroTroya</v>
      </c>
      <c r="C1236" s="8" t="s">
        <v>331</v>
      </c>
      <c r="D1236" s="9" t="s">
        <v>4274</v>
      </c>
      <c r="E1236" s="10" t="str">
        <f>HYPERLINK("https://twitter.com/CurroTroya/status/1070413733124550658","1070413733124550658")</f>
        <v>1070413733124550658</v>
      </c>
      <c r="F1236" s="11"/>
      <c r="G1236" s="11"/>
      <c r="H1236" s="11"/>
      <c r="I1236" s="14">
        <v>0</v>
      </c>
      <c r="J1236" s="14">
        <v>0</v>
      </c>
      <c r="K1236" s="15" t="str">
        <f>HYPERLINK("http://twitter.com/download/iphone","Twitter for iPhone")</f>
        <v>Twitter for iPhone</v>
      </c>
      <c r="L1236" s="14">
        <v>15192</v>
      </c>
      <c r="M1236" s="14">
        <v>6480</v>
      </c>
      <c r="N1236" s="14">
        <v>479</v>
      </c>
      <c r="O1236" s="16"/>
      <c r="P1236" s="6">
        <v>39989.777754629627</v>
      </c>
      <c r="Q1236" s="12" t="s">
        <v>298</v>
      </c>
      <c r="R1236" s="17" t="s">
        <v>333</v>
      </c>
      <c r="S1236" s="13" t="s">
        <v>334</v>
      </c>
      <c r="T1236" s="11"/>
      <c r="U1236" s="10" t="str">
        <f>HYPERLINK("https://pbs.twimg.com/profile_images/1010977003196076033/3hTl853S.jpg","View")</f>
        <v>View</v>
      </c>
    </row>
    <row r="1237" spans="1:21" ht="20.399999999999999">
      <c r="A1237" s="6">
        <v>43439.89135416667</v>
      </c>
      <c r="B1237" s="7" t="str">
        <f>HYPERLINK("https://twitter.com/AlfonsoRojoPD","@AlfonsoRojoPD")</f>
        <v>@AlfonsoRojoPD</v>
      </c>
      <c r="C1237" s="8" t="s">
        <v>4997</v>
      </c>
      <c r="D1237" s="9" t="s">
        <v>4998</v>
      </c>
      <c r="E1237" s="10" t="str">
        <f>HYPERLINK("https://twitter.com/AlfonsoRojoPD/status/1070413387018985473","1070413387018985473")</f>
        <v>1070413387018985473</v>
      </c>
      <c r="F1237" s="13" t="s">
        <v>4999</v>
      </c>
      <c r="G1237" s="11"/>
      <c r="H1237" s="11"/>
      <c r="I1237" s="14">
        <v>1</v>
      </c>
      <c r="J1237" s="14">
        <v>5</v>
      </c>
      <c r="K1237" s="15" t="str">
        <f t="shared" ref="K1237:K1238" si="256">HYPERLINK("http://twitter.com","Twitter Web Client")</f>
        <v>Twitter Web Client</v>
      </c>
      <c r="L1237" s="14">
        <v>49129</v>
      </c>
      <c r="M1237" s="14">
        <v>0</v>
      </c>
      <c r="N1237" s="14">
        <v>677</v>
      </c>
      <c r="O1237" s="19" t="s">
        <v>42</v>
      </c>
      <c r="P1237" s="6">
        <v>41704.447048611109</v>
      </c>
      <c r="Q1237" s="12" t="s">
        <v>29</v>
      </c>
      <c r="R1237" s="17" t="s">
        <v>5000</v>
      </c>
      <c r="S1237" s="13" t="s">
        <v>5001</v>
      </c>
      <c r="T1237" s="11"/>
      <c r="U1237" s="10" t="str">
        <f>HYPERLINK("https://pbs.twimg.com/profile_images/441511791210663936/QbI_6aXh.jpeg","View")</f>
        <v>View</v>
      </c>
    </row>
    <row r="1238" spans="1:21" ht="40.799999999999997">
      <c r="A1238" s="6">
        <v>43439.890960648147</v>
      </c>
      <c r="B1238" s="7" t="str">
        <f>HYPERLINK("https://twitter.com/romanalvareda33","@romanalvareda33")</f>
        <v>@romanalvareda33</v>
      </c>
      <c r="C1238" s="8" t="s">
        <v>5004</v>
      </c>
      <c r="D1238" s="9" t="s">
        <v>5005</v>
      </c>
      <c r="E1238" s="10" t="str">
        <f>HYPERLINK("https://twitter.com/romanalvareda33/status/1070413243431223297","1070413243431223297")</f>
        <v>1070413243431223297</v>
      </c>
      <c r="F1238" s="11"/>
      <c r="G1238" s="11"/>
      <c r="H1238" s="11"/>
      <c r="I1238" s="14">
        <v>0</v>
      </c>
      <c r="J1238" s="14">
        <v>2</v>
      </c>
      <c r="K1238" s="15" t="str">
        <f t="shared" si="256"/>
        <v>Twitter Web Client</v>
      </c>
      <c r="L1238" s="14">
        <v>22</v>
      </c>
      <c r="M1238" s="14">
        <v>25</v>
      </c>
      <c r="N1238" s="14">
        <v>1</v>
      </c>
      <c r="O1238" s="16"/>
      <c r="P1238" s="6">
        <v>42471.558310185181</v>
      </c>
      <c r="Q1238" s="11"/>
      <c r="R1238" s="17" t="s">
        <v>5006</v>
      </c>
      <c r="S1238" s="11"/>
      <c r="T1238" s="11"/>
      <c r="U1238" s="10" t="str">
        <f>HYPERLINK("https://pbs.twimg.com/profile_images/1034031320769482753/Ovraqx_x.jpg","View")</f>
        <v>View</v>
      </c>
    </row>
    <row r="1239" spans="1:21" ht="30.6">
      <c r="A1239" s="6">
        <v>43439.890127314815</v>
      </c>
      <c r="B1239" s="7" t="str">
        <f>HYPERLINK("https://twitter.com/Adeu_Espanya","@Adeu_Espanya")</f>
        <v>@Adeu_Espanya</v>
      </c>
      <c r="C1239" s="8" t="s">
        <v>5008</v>
      </c>
      <c r="D1239" s="9" t="s">
        <v>4934</v>
      </c>
      <c r="E1239" s="10" t="str">
        <f>HYPERLINK("https://twitter.com/Adeu_Espanya/status/1070412943269879808","1070412943269879808")</f>
        <v>1070412943269879808</v>
      </c>
      <c r="F1239" s="13" t="s">
        <v>5011</v>
      </c>
      <c r="G1239" s="13" t="s">
        <v>5012</v>
      </c>
      <c r="H1239" s="11"/>
      <c r="I1239" s="14">
        <v>0</v>
      </c>
      <c r="J1239" s="14">
        <v>0</v>
      </c>
      <c r="K1239" s="15" t="str">
        <f>HYPERLINK("https://dlvrit.com/","dlvr.it")</f>
        <v>dlvr.it</v>
      </c>
      <c r="L1239" s="14">
        <v>12237</v>
      </c>
      <c r="M1239" s="14">
        <v>7735</v>
      </c>
      <c r="N1239" s="14">
        <v>72</v>
      </c>
      <c r="O1239" s="16"/>
      <c r="P1239" s="6">
        <v>41192.564918981479</v>
      </c>
      <c r="Q1239" s="12" t="s">
        <v>5013</v>
      </c>
      <c r="R1239" s="17" t="s">
        <v>5014</v>
      </c>
      <c r="S1239" s="11"/>
      <c r="T1239" s="11"/>
      <c r="U1239" s="10" t="str">
        <f>HYPERLINK("https://pbs.twimg.com/profile_images/917024731089506304/QLSyrTYM.jpg","View")</f>
        <v>View</v>
      </c>
    </row>
    <row r="1240" spans="1:21" ht="51">
      <c r="A1240" s="6">
        <v>43439.889953703707</v>
      </c>
      <c r="B1240" s="7" t="str">
        <f>HYPERLINK("https://twitter.com/Rayoplateado","@Rayoplateado")</f>
        <v>@Rayoplateado</v>
      </c>
      <c r="C1240" s="8" t="s">
        <v>5017</v>
      </c>
      <c r="D1240" s="9" t="s">
        <v>5018</v>
      </c>
      <c r="E1240" s="10" t="str">
        <f>HYPERLINK("https://twitter.com/Rayoplateado/status/1070412880426778624","1070412880426778624")</f>
        <v>1070412880426778624</v>
      </c>
      <c r="F1240" s="11"/>
      <c r="G1240" s="11"/>
      <c r="H1240" s="11"/>
      <c r="I1240" s="14">
        <v>1</v>
      </c>
      <c r="J1240" s="14">
        <v>3</v>
      </c>
      <c r="K1240" s="15" t="str">
        <f t="shared" ref="K1240:K1241" si="257">HYPERLINK("http://twitter.com/download/android","Twitter for Android")</f>
        <v>Twitter for Android</v>
      </c>
      <c r="L1240" s="14">
        <v>1245</v>
      </c>
      <c r="M1240" s="14">
        <v>1618</v>
      </c>
      <c r="N1240" s="14">
        <v>60</v>
      </c>
      <c r="O1240" s="16"/>
      <c r="P1240" s="6">
        <v>40065.345590277779</v>
      </c>
      <c r="Q1240" s="11"/>
      <c r="R1240" s="17" t="s">
        <v>5020</v>
      </c>
      <c r="S1240" s="11"/>
      <c r="T1240" s="11"/>
      <c r="U1240" s="10" t="str">
        <f>HYPERLINK("https://pbs.twimg.com/profile_images/888812352312926208/Wj2p-X2K.jpg","View")</f>
        <v>View</v>
      </c>
    </row>
    <row r="1241" spans="1:21" ht="40.799999999999997">
      <c r="A1241" s="6">
        <v>43439.889907407407</v>
      </c>
      <c r="B1241" s="7" t="str">
        <f>HYPERLINK("https://twitter.com/_Natoly_","@_Natoly_")</f>
        <v>@_Natoly_</v>
      </c>
      <c r="C1241" s="8" t="s">
        <v>5023</v>
      </c>
      <c r="D1241" s="9" t="s">
        <v>5024</v>
      </c>
      <c r="E1241" s="10" t="str">
        <f>HYPERLINK("https://twitter.com/_Natoly_/status/1070412863481753600","1070412863481753600")</f>
        <v>1070412863481753600</v>
      </c>
      <c r="F1241" s="11"/>
      <c r="G1241" s="11"/>
      <c r="H1241" s="11"/>
      <c r="I1241" s="14">
        <v>0</v>
      </c>
      <c r="J1241" s="14">
        <v>1</v>
      </c>
      <c r="K1241" s="15" t="str">
        <f t="shared" si="257"/>
        <v>Twitter for Android</v>
      </c>
      <c r="L1241" s="14">
        <v>444</v>
      </c>
      <c r="M1241" s="14">
        <v>195</v>
      </c>
      <c r="N1241" s="14">
        <v>11</v>
      </c>
      <c r="O1241" s="16"/>
      <c r="P1241" s="6">
        <v>42097.801620370374</v>
      </c>
      <c r="Q1241" s="12" t="s">
        <v>1695</v>
      </c>
      <c r="R1241" s="17" t="s">
        <v>5026</v>
      </c>
      <c r="S1241" s="13" t="s">
        <v>5027</v>
      </c>
      <c r="T1241" s="11"/>
      <c r="U1241" s="10" t="str">
        <f>HYPERLINK("https://pbs.twimg.com/profile_images/990225186506137600/5AWogM6F.jpg","View")</f>
        <v>View</v>
      </c>
    </row>
    <row r="1242" spans="1:21" ht="51">
      <c r="A1242" s="6">
        <v>43439.888958333337</v>
      </c>
      <c r="B1242" s="7" t="str">
        <f>HYPERLINK("https://twitter.com/OdJordi","@OdJordi")</f>
        <v>@OdJordi</v>
      </c>
      <c r="C1242" s="8" t="s">
        <v>1335</v>
      </c>
      <c r="D1242" s="9" t="s">
        <v>4276</v>
      </c>
      <c r="E1242" s="10" t="str">
        <f>HYPERLINK("https://twitter.com/OdJordi/status/1070412518584213504","1070412518584213504")</f>
        <v>1070412518584213504</v>
      </c>
      <c r="F1242" s="11"/>
      <c r="G1242" s="11"/>
      <c r="H1242" s="11"/>
      <c r="I1242" s="14">
        <v>0</v>
      </c>
      <c r="J1242" s="14">
        <v>0</v>
      </c>
      <c r="K1242" s="15" t="str">
        <f t="shared" ref="K1242:K1243" si="258">HYPERLINK("http://twitter.com/download/iphone","Twitter for iPhone")</f>
        <v>Twitter for iPhone</v>
      </c>
      <c r="L1242" s="14">
        <v>137</v>
      </c>
      <c r="M1242" s="14">
        <v>349</v>
      </c>
      <c r="N1242" s="14">
        <v>1</v>
      </c>
      <c r="O1242" s="16"/>
      <c r="P1242" s="6">
        <v>43364.784398148149</v>
      </c>
      <c r="Q1242" s="12" t="s">
        <v>1338</v>
      </c>
      <c r="R1242" s="17" t="s">
        <v>1339</v>
      </c>
      <c r="S1242" s="11"/>
      <c r="T1242" s="11"/>
      <c r="U1242" s="10" t="str">
        <f>HYPERLINK("https://pbs.twimg.com/profile_images/1051850895523278848/MJfJWY0y.jpg","View")</f>
        <v>View</v>
      </c>
    </row>
    <row r="1243" spans="1:21" ht="40.799999999999997">
      <c r="A1243" s="6">
        <v>43439.888773148152</v>
      </c>
      <c r="B1243" s="7" t="str">
        <f>HYPERLINK("https://twitter.com/phernandezpolo","@phernandezpolo")</f>
        <v>@phernandezpolo</v>
      </c>
      <c r="C1243" s="8" t="s">
        <v>4277</v>
      </c>
      <c r="D1243" s="9" t="s">
        <v>4278</v>
      </c>
      <c r="E1243" s="10" t="str">
        <f>HYPERLINK("https://twitter.com/phernandezpolo/status/1070412453618561028","1070412453618561028")</f>
        <v>1070412453618561028</v>
      </c>
      <c r="F1243" s="11"/>
      <c r="G1243" s="11"/>
      <c r="H1243" s="11"/>
      <c r="I1243" s="14">
        <v>0</v>
      </c>
      <c r="J1243" s="14">
        <v>0</v>
      </c>
      <c r="K1243" s="15" t="str">
        <f t="shared" si="258"/>
        <v>Twitter for iPhone</v>
      </c>
      <c r="L1243" s="14">
        <v>1055</v>
      </c>
      <c r="M1243" s="14">
        <v>999</v>
      </c>
      <c r="N1243" s="14">
        <v>35</v>
      </c>
      <c r="O1243" s="16"/>
      <c r="P1243" s="6">
        <v>39924.554340277777</v>
      </c>
      <c r="Q1243" s="12" t="s">
        <v>119</v>
      </c>
      <c r="R1243" s="17" t="s">
        <v>4281</v>
      </c>
      <c r="S1243" s="13" t="s">
        <v>4282</v>
      </c>
      <c r="T1243" s="11"/>
      <c r="U1243" s="10" t="str">
        <f>HYPERLINK("https://pbs.twimg.com/profile_images/1038451234116710402/1Juy21TA.jpg","View")</f>
        <v>View</v>
      </c>
    </row>
    <row r="1244" spans="1:21" ht="30.6">
      <c r="A1244" s="6">
        <v>43439.888020833328</v>
      </c>
      <c r="B1244" s="7" t="str">
        <f>HYPERLINK("https://twitter.com/Badalonadomici","@Badalonadomici")</f>
        <v>@Badalonadomici</v>
      </c>
      <c r="C1244" s="8" t="s">
        <v>5031</v>
      </c>
      <c r="D1244" s="9" t="s">
        <v>5032</v>
      </c>
      <c r="E1244" s="10" t="str">
        <f>HYPERLINK("https://twitter.com/Badalonadomici/status/1070412177398513665","1070412177398513665")</f>
        <v>1070412177398513665</v>
      </c>
      <c r="F1244" s="13" t="s">
        <v>5033</v>
      </c>
      <c r="G1244" s="11"/>
      <c r="H1244" s="11"/>
      <c r="I1244" s="14">
        <v>0</v>
      </c>
      <c r="J1244" s="14">
        <v>0</v>
      </c>
      <c r="K1244" s="15" t="str">
        <f>HYPERLINK("https://ifttt.com","IFTTT")</f>
        <v>IFTTT</v>
      </c>
      <c r="L1244" s="14">
        <v>615</v>
      </c>
      <c r="M1244" s="14">
        <v>40</v>
      </c>
      <c r="N1244" s="14">
        <v>12</v>
      </c>
      <c r="O1244" s="16"/>
      <c r="P1244" s="6">
        <v>41683.431631944448</v>
      </c>
      <c r="Q1244" s="12" t="s">
        <v>5035</v>
      </c>
      <c r="R1244" s="17" t="s">
        <v>5036</v>
      </c>
      <c r="S1244" s="13" t="s">
        <v>5037</v>
      </c>
      <c r="T1244" s="11"/>
      <c r="U1244" s="10" t="str">
        <f>HYPERLINK("https://pbs.twimg.com/profile_images/455307313344040960/5-rmz1hK.jpeg","View")</f>
        <v>View</v>
      </c>
    </row>
    <row r="1245" spans="1:21" ht="30.6">
      <c r="A1245" s="6">
        <v>43439.887048611112</v>
      </c>
      <c r="B1245" s="7" t="str">
        <f>HYPERLINK("https://twitter.com/dani_lovsky","@dani_lovsky")</f>
        <v>@dani_lovsky</v>
      </c>
      <c r="C1245" s="8" t="s">
        <v>5038</v>
      </c>
      <c r="D1245" s="9" t="s">
        <v>5039</v>
      </c>
      <c r="E1245" s="10" t="str">
        <f>HYPERLINK("https://twitter.com/dani_lovsky/status/1070411827035729920","1070411827035729920")</f>
        <v>1070411827035729920</v>
      </c>
      <c r="F1245" s="11"/>
      <c r="G1245" s="11"/>
      <c r="H1245" s="11"/>
      <c r="I1245" s="14">
        <v>0</v>
      </c>
      <c r="J1245" s="14">
        <v>4</v>
      </c>
      <c r="K1245" s="15" t="str">
        <f>HYPERLINK("http://twitter.com/download/iphone","Twitter for iPhone")</f>
        <v>Twitter for iPhone</v>
      </c>
      <c r="L1245" s="14">
        <v>1257</v>
      </c>
      <c r="M1245" s="14">
        <v>314</v>
      </c>
      <c r="N1245" s="14">
        <v>3</v>
      </c>
      <c r="O1245" s="16"/>
      <c r="P1245" s="6">
        <v>42256.692129629635</v>
      </c>
      <c r="Q1245" s="12" t="s">
        <v>508</v>
      </c>
      <c r="R1245" s="17" t="s">
        <v>5040</v>
      </c>
      <c r="S1245" s="13" t="s">
        <v>5041</v>
      </c>
      <c r="T1245" s="11"/>
      <c r="U1245" s="10" t="str">
        <f>HYPERLINK("https://pbs.twimg.com/profile_images/1025445139689472000/qvz24dFt.jpg","View")</f>
        <v>View</v>
      </c>
    </row>
    <row r="1246" spans="1:21" ht="30.6">
      <c r="A1246" s="6">
        <v>43439.88680555555</v>
      </c>
      <c r="B1246" s="7" t="str">
        <f>HYPERLINK("https://twitter.com/gabalaui","@gabalaui")</f>
        <v>@gabalaui</v>
      </c>
      <c r="C1246" s="8" t="s">
        <v>49</v>
      </c>
      <c r="D1246" s="9" t="s">
        <v>5044</v>
      </c>
      <c r="E1246" s="10" t="str">
        <f>HYPERLINK("https://twitter.com/gabalaui/status/1070411740855316482","1070411740855316482")</f>
        <v>1070411740855316482</v>
      </c>
      <c r="F1246" s="11"/>
      <c r="G1246" s="11"/>
      <c r="H1246" s="11"/>
      <c r="I1246" s="14">
        <v>0</v>
      </c>
      <c r="J1246" s="14">
        <v>0</v>
      </c>
      <c r="K1246" s="15" t="str">
        <f>HYPERLINK("https://mobile.twitter.com","Twitter Lite")</f>
        <v>Twitter Lite</v>
      </c>
      <c r="L1246" s="14">
        <v>927</v>
      </c>
      <c r="M1246" s="14">
        <v>371</v>
      </c>
      <c r="N1246" s="14">
        <v>81</v>
      </c>
      <c r="O1246" s="16"/>
      <c r="P1246" s="6">
        <v>39974.00273148148</v>
      </c>
      <c r="Q1246" s="11"/>
      <c r="R1246" s="17" t="s">
        <v>53</v>
      </c>
      <c r="S1246" s="13" t="s">
        <v>54</v>
      </c>
      <c r="T1246" s="11"/>
      <c r="U1246" s="10" t="str">
        <f>HYPERLINK("https://pbs.twimg.com/profile_images/378800000652085233/b4b797f0ed13aaaf204a5f28e1bd59ca.jpeg","View")</f>
        <v>View</v>
      </c>
    </row>
    <row r="1247" spans="1:21" ht="20.399999999999999">
      <c r="A1247" s="6">
        <v>43439.886724537035</v>
      </c>
      <c r="B1247" s="7" t="str">
        <f>HYPERLINK("https://twitter.com/_sergib","@_sergib")</f>
        <v>@_sergib</v>
      </c>
      <c r="C1247" s="8" t="s">
        <v>4283</v>
      </c>
      <c r="D1247" s="9" t="s">
        <v>4284</v>
      </c>
      <c r="E1247" s="10" t="str">
        <f>HYPERLINK("https://twitter.com/_sergib/status/1070411708466954240","1070411708466954240")</f>
        <v>1070411708466954240</v>
      </c>
      <c r="F1247" s="11"/>
      <c r="G1247" s="11"/>
      <c r="H1247" s="11"/>
      <c r="I1247" s="14">
        <v>0</v>
      </c>
      <c r="J1247" s="14">
        <v>0</v>
      </c>
      <c r="K1247" s="15" t="str">
        <f t="shared" ref="K1247:K1249" si="259">HYPERLINK("http://twitter.com/download/iphone","Twitter for iPhone")</f>
        <v>Twitter for iPhone</v>
      </c>
      <c r="L1247" s="14">
        <v>137</v>
      </c>
      <c r="M1247" s="14">
        <v>214</v>
      </c>
      <c r="N1247" s="14">
        <v>0</v>
      </c>
      <c r="O1247" s="16"/>
      <c r="P1247" s="6">
        <v>42941.046006944445</v>
      </c>
      <c r="Q1247" s="12" t="s">
        <v>1785</v>
      </c>
      <c r="R1247" s="17" t="s">
        <v>4285</v>
      </c>
      <c r="S1247" s="11"/>
      <c r="T1247" s="11"/>
      <c r="U1247" s="10" t="str">
        <f>HYPERLINK("https://pbs.twimg.com/profile_images/1043958301640335367/PjoM4wwa.jpg","View")</f>
        <v>View</v>
      </c>
    </row>
    <row r="1248" spans="1:21" ht="40.799999999999997">
      <c r="A1248" s="6">
        <v>43439.886597222227</v>
      </c>
      <c r="B1248" s="7" t="str">
        <f>HYPERLINK("https://twitter.com/noeliahideko","@noeliahideko")</f>
        <v>@noeliahideko</v>
      </c>
      <c r="C1248" s="8" t="s">
        <v>5051</v>
      </c>
      <c r="D1248" s="9" t="s">
        <v>5052</v>
      </c>
      <c r="E1248" s="10" t="str">
        <f>HYPERLINK("https://twitter.com/noeliahideko/status/1070411664443498498","1070411664443498498")</f>
        <v>1070411664443498498</v>
      </c>
      <c r="F1248" s="11"/>
      <c r="G1248" s="11"/>
      <c r="H1248" s="11"/>
      <c r="I1248" s="14">
        <v>1</v>
      </c>
      <c r="J1248" s="14">
        <v>0</v>
      </c>
      <c r="K1248" s="15" t="str">
        <f t="shared" si="259"/>
        <v>Twitter for iPhone</v>
      </c>
      <c r="L1248" s="14">
        <v>627</v>
      </c>
      <c r="M1248" s="14">
        <v>147</v>
      </c>
      <c r="N1248" s="14">
        <v>16</v>
      </c>
      <c r="O1248" s="16"/>
      <c r="P1248" s="6">
        <v>39959.871215277773</v>
      </c>
      <c r="Q1248" s="12" t="s">
        <v>60</v>
      </c>
      <c r="R1248" s="17" t="s">
        <v>5054</v>
      </c>
      <c r="S1248" s="13" t="s">
        <v>5055</v>
      </c>
      <c r="T1248" s="11"/>
      <c r="U1248" s="10" t="str">
        <f>HYPERLINK("https://pbs.twimg.com/profile_images/1024778789526679554/SzuRnpEs.jpg","View")</f>
        <v>View</v>
      </c>
    </row>
    <row r="1249" spans="1:21" ht="13.2">
      <c r="A1249" s="6">
        <v>43439.886562500003</v>
      </c>
      <c r="B1249" s="7" t="str">
        <f>HYPERLINK("https://twitter.com/itsalegg","@itsalegg")</f>
        <v>@itsalegg</v>
      </c>
      <c r="C1249" s="8" t="s">
        <v>5057</v>
      </c>
      <c r="D1249" s="9" t="s">
        <v>5058</v>
      </c>
      <c r="E1249" s="10" t="str">
        <f>HYPERLINK("https://twitter.com/itsalegg/status/1070411652376465408","1070411652376465408")</f>
        <v>1070411652376465408</v>
      </c>
      <c r="F1249" s="11"/>
      <c r="G1249" s="11"/>
      <c r="H1249" s="11"/>
      <c r="I1249" s="14">
        <v>1</v>
      </c>
      <c r="J1249" s="14">
        <v>2</v>
      </c>
      <c r="K1249" s="15" t="str">
        <f t="shared" si="259"/>
        <v>Twitter for iPhone</v>
      </c>
      <c r="L1249" s="14">
        <v>260</v>
      </c>
      <c r="M1249" s="14">
        <v>261</v>
      </c>
      <c r="N1249" s="14">
        <v>5</v>
      </c>
      <c r="O1249" s="16"/>
      <c r="P1249" s="6">
        <v>40857.687384259261</v>
      </c>
      <c r="Q1249" s="12" t="s">
        <v>5059</v>
      </c>
      <c r="R1249" s="17" t="s">
        <v>5060</v>
      </c>
      <c r="S1249" s="13" t="s">
        <v>5061</v>
      </c>
      <c r="T1249" s="11"/>
      <c r="U1249" s="10" t="str">
        <f>HYPERLINK("https://pbs.twimg.com/profile_images/1056574107813326848/5nmXw-vA.jpg","View")</f>
        <v>View</v>
      </c>
    </row>
    <row r="1250" spans="1:21" ht="20.399999999999999">
      <c r="A1250" s="6">
        <v>43439.885624999995</v>
      </c>
      <c r="B1250" s="7" t="str">
        <f>HYPERLINK("https://twitter.com/MikelRegalado","@MikelRegalado")</f>
        <v>@MikelRegalado</v>
      </c>
      <c r="C1250" s="8" t="s">
        <v>5062</v>
      </c>
      <c r="D1250" s="9" t="s">
        <v>5063</v>
      </c>
      <c r="E1250" s="10" t="str">
        <f>HYPERLINK("https://twitter.com/MikelRegalado/status/1070411310922387458","1070411310922387458")</f>
        <v>1070411310922387458</v>
      </c>
      <c r="F1250" s="13" t="s">
        <v>3254</v>
      </c>
      <c r="G1250" s="13" t="s">
        <v>3255</v>
      </c>
      <c r="H1250" s="11"/>
      <c r="I1250" s="14">
        <v>0</v>
      </c>
      <c r="J1250" s="14">
        <v>3</v>
      </c>
      <c r="K1250" s="15" t="str">
        <f>HYPERLINK("http://twitter.com/download/android","Twitter for Android")</f>
        <v>Twitter for Android</v>
      </c>
      <c r="L1250" s="14">
        <v>238</v>
      </c>
      <c r="M1250" s="14">
        <v>385</v>
      </c>
      <c r="N1250" s="14">
        <v>0</v>
      </c>
      <c r="O1250" s="16"/>
      <c r="P1250" s="6">
        <v>40791.644363425927</v>
      </c>
      <c r="Q1250" s="12" t="s">
        <v>5064</v>
      </c>
      <c r="R1250" s="17" t="s">
        <v>5065</v>
      </c>
      <c r="S1250" s="11"/>
      <c r="T1250" s="11"/>
      <c r="U1250" s="10" t="str">
        <f>HYPERLINK("https://pbs.twimg.com/profile_images/988655060262539264/tR4uIPYU.jpg","View")</f>
        <v>View</v>
      </c>
    </row>
    <row r="1251" spans="1:21" ht="30.6">
      <c r="A1251" s="6">
        <v>43439.885150462964</v>
      </c>
      <c r="B1251" s="7" t="str">
        <f>HYPERLINK("https://twitter.com/aramalo28","@aramalo28")</f>
        <v>@aramalo28</v>
      </c>
      <c r="C1251" s="8" t="s">
        <v>4288</v>
      </c>
      <c r="D1251" s="9" t="s">
        <v>4289</v>
      </c>
      <c r="E1251" s="10" t="str">
        <f>HYPERLINK("https://twitter.com/aramalo28/status/1070411138310070273","1070411138310070273")</f>
        <v>1070411138310070273</v>
      </c>
      <c r="F1251" s="11"/>
      <c r="G1251" s="11"/>
      <c r="H1251" s="11"/>
      <c r="I1251" s="14">
        <v>0</v>
      </c>
      <c r="J1251" s="14">
        <v>0</v>
      </c>
      <c r="K1251" s="15" t="str">
        <f t="shared" ref="K1251:K1254" si="260">HYPERLINK("http://twitter.com/download/iphone","Twitter for iPhone")</f>
        <v>Twitter for iPhone</v>
      </c>
      <c r="L1251" s="14">
        <v>80</v>
      </c>
      <c r="M1251" s="14">
        <v>313</v>
      </c>
      <c r="N1251" s="14">
        <v>0</v>
      </c>
      <c r="O1251" s="16"/>
      <c r="P1251" s="6">
        <v>40694.810937499999</v>
      </c>
      <c r="Q1251" s="11"/>
      <c r="R1251" s="18"/>
      <c r="S1251" s="11"/>
      <c r="T1251" s="11"/>
      <c r="U1251" s="10" t="str">
        <f>HYPERLINK("https://pbs.twimg.com/profile_images/987441866034565123/SZ-97fYQ.jpg","View")</f>
        <v>View</v>
      </c>
    </row>
    <row r="1252" spans="1:21" ht="51">
      <c r="A1252" s="6">
        <v>43439.884606481486</v>
      </c>
      <c r="B1252" s="7" t="str">
        <f>HYPERLINK("https://twitter.com/CurroTroya","@CurroTroya")</f>
        <v>@CurroTroya</v>
      </c>
      <c r="C1252" s="8" t="s">
        <v>331</v>
      </c>
      <c r="D1252" s="9" t="s">
        <v>4290</v>
      </c>
      <c r="E1252" s="10" t="str">
        <f>HYPERLINK("https://twitter.com/CurroTroya/status/1070410939940376576","1070410939940376576")</f>
        <v>1070410939940376576</v>
      </c>
      <c r="F1252" s="11"/>
      <c r="G1252" s="11"/>
      <c r="H1252" s="11"/>
      <c r="I1252" s="14">
        <v>0</v>
      </c>
      <c r="J1252" s="14">
        <v>2</v>
      </c>
      <c r="K1252" s="15" t="str">
        <f t="shared" si="260"/>
        <v>Twitter for iPhone</v>
      </c>
      <c r="L1252" s="14">
        <v>15192</v>
      </c>
      <c r="M1252" s="14">
        <v>6480</v>
      </c>
      <c r="N1252" s="14">
        <v>479</v>
      </c>
      <c r="O1252" s="16"/>
      <c r="P1252" s="6">
        <v>39989.777754629627</v>
      </c>
      <c r="Q1252" s="12" t="s">
        <v>298</v>
      </c>
      <c r="R1252" s="17" t="s">
        <v>333</v>
      </c>
      <c r="S1252" s="13" t="s">
        <v>334</v>
      </c>
      <c r="T1252" s="11"/>
      <c r="U1252" s="10" t="str">
        <f>HYPERLINK("https://pbs.twimg.com/profile_images/1010977003196076033/3hTl853S.jpg","View")</f>
        <v>View</v>
      </c>
    </row>
    <row r="1253" spans="1:21" ht="51">
      <c r="A1253" s="6">
        <v>43439.884525462963</v>
      </c>
      <c r="B1253" s="7" t="str">
        <f>HYPERLINK("https://twitter.com/Albert_Rivera","@Albert_Rivera")</f>
        <v>@Albert_Rivera</v>
      </c>
      <c r="C1253" s="8" t="s">
        <v>443</v>
      </c>
      <c r="D1253" s="9" t="s">
        <v>5068</v>
      </c>
      <c r="E1253" s="10" t="str">
        <f>HYPERLINK("https://twitter.com/Albert_Rivera/status/1070410912862011392","1070410912862011392")</f>
        <v>1070410912862011392</v>
      </c>
      <c r="F1253" s="11"/>
      <c r="G1253" s="13" t="s">
        <v>5069</v>
      </c>
      <c r="H1253" s="11"/>
      <c r="I1253" s="14">
        <v>361</v>
      </c>
      <c r="J1253" s="14">
        <v>881</v>
      </c>
      <c r="K1253" s="15" t="str">
        <f t="shared" si="260"/>
        <v>Twitter for iPhone</v>
      </c>
      <c r="L1253" s="14">
        <v>1075808</v>
      </c>
      <c r="M1253" s="14">
        <v>2547</v>
      </c>
      <c r="N1253" s="14">
        <v>5114</v>
      </c>
      <c r="O1253" s="19" t="s">
        <v>42</v>
      </c>
      <c r="P1253" s="6">
        <v>40205.748171296298</v>
      </c>
      <c r="Q1253" s="12" t="s">
        <v>137</v>
      </c>
      <c r="R1253" s="17" t="s">
        <v>450</v>
      </c>
      <c r="S1253" s="13" t="s">
        <v>452</v>
      </c>
      <c r="T1253" s="11"/>
      <c r="U1253" s="10" t="str">
        <f>HYPERLINK("https://pbs.twimg.com/profile_images/1030708936779988993/RncDM4EZ.jpg","View")</f>
        <v>View</v>
      </c>
    </row>
    <row r="1254" spans="1:21" ht="40.799999999999997">
      <c r="A1254" s="6">
        <v>43439.88444444444</v>
      </c>
      <c r="B1254" s="7" t="str">
        <f>HYPERLINK("https://twitter.com/AlterEg84597397","@AlterEg84597397")</f>
        <v>@AlterEg84597397</v>
      </c>
      <c r="C1254" s="8" t="s">
        <v>4294</v>
      </c>
      <c r="D1254" s="9" t="s">
        <v>4295</v>
      </c>
      <c r="E1254" s="10" t="str">
        <f>HYPERLINK("https://twitter.com/AlterEg84597397/status/1070410884340682753","1070410884340682753")</f>
        <v>1070410884340682753</v>
      </c>
      <c r="F1254" s="11"/>
      <c r="G1254" s="13" t="s">
        <v>4296</v>
      </c>
      <c r="H1254" s="11"/>
      <c r="I1254" s="14">
        <v>0</v>
      </c>
      <c r="J1254" s="14">
        <v>0</v>
      </c>
      <c r="K1254" s="15" t="str">
        <f t="shared" si="260"/>
        <v>Twitter for iPhone</v>
      </c>
      <c r="L1254" s="14">
        <v>15</v>
      </c>
      <c r="M1254" s="14">
        <v>103</v>
      </c>
      <c r="N1254" s="14">
        <v>0</v>
      </c>
      <c r="O1254" s="16"/>
      <c r="P1254" s="6">
        <v>43438.044548611113</v>
      </c>
      <c r="Q1254" s="12" t="s">
        <v>137</v>
      </c>
      <c r="R1254" s="17" t="s">
        <v>4297</v>
      </c>
      <c r="S1254" s="11"/>
      <c r="T1254" s="11"/>
      <c r="U1254" s="10" t="str">
        <f>HYPERLINK("https://pbs.twimg.com/profile_images/1069744417945387008/6LzHleub.jpg","View")</f>
        <v>View</v>
      </c>
    </row>
    <row r="1255" spans="1:21" ht="51">
      <c r="A1255" s="6">
        <v>43439.88444444444</v>
      </c>
      <c r="B1255" s="7" t="str">
        <f>HYPERLINK("https://twitter.com/bechoch","@bechoch")</f>
        <v>@bechoch</v>
      </c>
      <c r="C1255" s="8" t="s">
        <v>4298</v>
      </c>
      <c r="D1255" s="9" t="s">
        <v>4299</v>
      </c>
      <c r="E1255" s="10" t="str">
        <f>HYPERLINK("https://twitter.com/bechoch/status/1070410883367690240","1070410883367690240")</f>
        <v>1070410883367690240</v>
      </c>
      <c r="F1255" s="13" t="s">
        <v>4300</v>
      </c>
      <c r="G1255" s="11"/>
      <c r="H1255" s="11"/>
      <c r="I1255" s="14">
        <v>5</v>
      </c>
      <c r="J1255" s="14">
        <v>4</v>
      </c>
      <c r="K1255" s="15" t="str">
        <f>HYPERLINK("http://twitter.com/download/android","Twitter for Android")</f>
        <v>Twitter for Android</v>
      </c>
      <c r="L1255" s="14">
        <v>1554</v>
      </c>
      <c r="M1255" s="14">
        <v>1496</v>
      </c>
      <c r="N1255" s="14">
        <v>33</v>
      </c>
      <c r="O1255" s="16"/>
      <c r="P1255" s="6">
        <v>41395.532870370371</v>
      </c>
      <c r="Q1255" s="11"/>
      <c r="R1255" s="17" t="s">
        <v>4301</v>
      </c>
      <c r="S1255" s="11"/>
      <c r="T1255" s="11"/>
      <c r="U1255" s="10" t="str">
        <f>HYPERLINK("https://pbs.twimg.com/profile_images/898575706136989697/2lWLxVVC.jpg","View")</f>
        <v>View</v>
      </c>
    </row>
    <row r="1256" spans="1:21" ht="20.399999999999999">
      <c r="A1256" s="6">
        <v>43439.883993055555</v>
      </c>
      <c r="B1256" s="7" t="str">
        <f>HYPERLINK("https://twitter.com/Barbaritaa110","@Barbaritaa110")</f>
        <v>@Barbaritaa110</v>
      </c>
      <c r="C1256" s="8" t="s">
        <v>5078</v>
      </c>
      <c r="D1256" s="9" t="s">
        <v>4065</v>
      </c>
      <c r="E1256" s="10" t="str">
        <f>HYPERLINK("https://twitter.com/Barbaritaa110/status/1070410718342725642","1070410718342725642")</f>
        <v>1070410718342725642</v>
      </c>
      <c r="F1256" s="13" t="s">
        <v>3869</v>
      </c>
      <c r="G1256" s="11"/>
      <c r="H1256" s="11"/>
      <c r="I1256" s="14">
        <v>0</v>
      </c>
      <c r="J1256" s="14">
        <v>0</v>
      </c>
      <c r="K1256" s="15" t="str">
        <f>HYPERLINK("http://twitter.com/download/iphone","Twitter for iPhone")</f>
        <v>Twitter for iPhone</v>
      </c>
      <c r="L1256" s="14">
        <v>225</v>
      </c>
      <c r="M1256" s="14">
        <v>459</v>
      </c>
      <c r="N1256" s="14">
        <v>6</v>
      </c>
      <c r="O1256" s="16"/>
      <c r="P1256" s="6">
        <v>41089.926458333335</v>
      </c>
      <c r="Q1256" s="12" t="s">
        <v>231</v>
      </c>
      <c r="R1256" s="18"/>
      <c r="S1256" s="11"/>
      <c r="T1256" s="11"/>
      <c r="U1256" s="10" t="str">
        <f>HYPERLINK("https://pbs.twimg.com/profile_images/914223692665769984/qwOdNaQq.jpg","View")</f>
        <v>View</v>
      </c>
    </row>
    <row r="1257" spans="1:21" ht="51">
      <c r="A1257" s="6">
        <v>43439.883576388893</v>
      </c>
      <c r="B1257" s="7" t="str">
        <f>HYPERLINK("https://twitter.com/penolopeenmadri","@penolopeenmadri")</f>
        <v>@penolopeenmadri</v>
      </c>
      <c r="C1257" s="8" t="s">
        <v>4303</v>
      </c>
      <c r="D1257" s="9" t="s">
        <v>4304</v>
      </c>
      <c r="E1257" s="10" t="str">
        <f>HYPERLINK("https://twitter.com/penolopeenmadri/status/1070410569243594757","1070410569243594757")</f>
        <v>1070410569243594757</v>
      </c>
      <c r="F1257" s="13" t="s">
        <v>4305</v>
      </c>
      <c r="G1257" s="11"/>
      <c r="H1257" s="11"/>
      <c r="I1257" s="14">
        <v>0</v>
      </c>
      <c r="J1257" s="14">
        <v>0</v>
      </c>
      <c r="K1257" s="15" t="str">
        <f t="shared" ref="K1257:K1258" si="261">HYPERLINK("http://twitter.com","Twitter Web Client")</f>
        <v>Twitter Web Client</v>
      </c>
      <c r="L1257" s="14">
        <v>609</v>
      </c>
      <c r="M1257" s="14">
        <v>556</v>
      </c>
      <c r="N1257" s="14">
        <v>14</v>
      </c>
      <c r="O1257" s="16"/>
      <c r="P1257" s="6">
        <v>41099.920254629629</v>
      </c>
      <c r="Q1257" s="11"/>
      <c r="R1257" s="17" t="s">
        <v>4306</v>
      </c>
      <c r="S1257" s="11"/>
      <c r="T1257" s="11"/>
      <c r="U1257" s="10" t="str">
        <f>HYPERLINK("https://pbs.twimg.com/profile_images/1011351405213507586/1MHBCoOf.jpg","View")</f>
        <v>View</v>
      </c>
    </row>
    <row r="1258" spans="1:21" ht="30.6">
      <c r="A1258" s="6">
        <v>43439.883402777778</v>
      </c>
      <c r="B1258" s="7" t="str">
        <f>HYPERLINK("https://twitter.com/Angelcostalero","@Angelcostalero")</f>
        <v>@Angelcostalero</v>
      </c>
      <c r="C1258" s="8" t="s">
        <v>5081</v>
      </c>
      <c r="D1258" s="9" t="s">
        <v>5082</v>
      </c>
      <c r="E1258" s="10" t="str">
        <f>HYPERLINK("https://twitter.com/Angelcostalero/status/1070410506333315072","1070410506333315072")</f>
        <v>1070410506333315072</v>
      </c>
      <c r="F1258" s="11"/>
      <c r="G1258" s="11"/>
      <c r="H1258" s="11"/>
      <c r="I1258" s="14">
        <v>0</v>
      </c>
      <c r="J1258" s="14">
        <v>2</v>
      </c>
      <c r="K1258" s="15" t="str">
        <f t="shared" si="261"/>
        <v>Twitter Web Client</v>
      </c>
      <c r="L1258" s="14">
        <v>805</v>
      </c>
      <c r="M1258" s="14">
        <v>2391</v>
      </c>
      <c r="N1258" s="14">
        <v>1</v>
      </c>
      <c r="O1258" s="16"/>
      <c r="P1258" s="6">
        <v>42354.881539351853</v>
      </c>
      <c r="Q1258" s="12" t="s">
        <v>5083</v>
      </c>
      <c r="R1258" s="17" t="s">
        <v>5084</v>
      </c>
      <c r="S1258" s="13" t="s">
        <v>5085</v>
      </c>
      <c r="T1258" s="11"/>
      <c r="U1258" s="10" t="str">
        <f>HYPERLINK("https://pbs.twimg.com/profile_images/1059066063126695936/azDj6DYa.jpg","View")</f>
        <v>View</v>
      </c>
    </row>
    <row r="1259" spans="1:21" ht="20.399999999999999">
      <c r="A1259" s="6">
        <v>43439.882962962962</v>
      </c>
      <c r="B1259" s="7" t="str">
        <f>HYPERLINK("https://twitter.com/manolinelreal","@manolinelreal")</f>
        <v>@manolinelreal</v>
      </c>
      <c r="C1259" s="8" t="s">
        <v>1564</v>
      </c>
      <c r="D1259" s="9" t="s">
        <v>4309</v>
      </c>
      <c r="E1259" s="10" t="str">
        <f>HYPERLINK("https://twitter.com/manolinelreal/status/1070410345263652864","1070410345263652864")</f>
        <v>1070410345263652864</v>
      </c>
      <c r="F1259" s="13" t="s">
        <v>4312</v>
      </c>
      <c r="G1259" s="11"/>
      <c r="H1259" s="11"/>
      <c r="I1259" s="14">
        <v>0</v>
      </c>
      <c r="J1259" s="14">
        <v>0</v>
      </c>
      <c r="K1259" s="15" t="str">
        <f>HYPERLINK("http://twitter.com/download/android","Twitter for Android")</f>
        <v>Twitter for Android</v>
      </c>
      <c r="L1259" s="14">
        <v>2407</v>
      </c>
      <c r="M1259" s="14">
        <v>2338</v>
      </c>
      <c r="N1259" s="14">
        <v>22</v>
      </c>
      <c r="O1259" s="16"/>
      <c r="P1259" s="6">
        <v>41276.882627314815</v>
      </c>
      <c r="Q1259" s="11"/>
      <c r="R1259" s="17" t="s">
        <v>4313</v>
      </c>
      <c r="S1259" s="11"/>
      <c r="T1259" s="11"/>
      <c r="U1259" s="10" t="str">
        <f>HYPERLINK("https://pbs.twimg.com/profile_images/1060287423475867649/Ko1nWlY_.jpg","View")</f>
        <v>View</v>
      </c>
    </row>
    <row r="1260" spans="1:21" ht="30.6">
      <c r="A1260" s="6">
        <v>43439.882280092592</v>
      </c>
      <c r="B1260" s="7" t="str">
        <f>HYPERLINK("https://twitter.com/republicano1945","@republicano1945")</f>
        <v>@republicano1945</v>
      </c>
      <c r="C1260" s="8" t="s">
        <v>5086</v>
      </c>
      <c r="D1260" s="9" t="s">
        <v>4065</v>
      </c>
      <c r="E1260" s="10" t="str">
        <f>HYPERLINK("https://twitter.com/republicano1945/status/1070410099758456832","1070410099758456832")</f>
        <v>1070410099758456832</v>
      </c>
      <c r="F1260" s="13" t="s">
        <v>3869</v>
      </c>
      <c r="G1260" s="11"/>
      <c r="H1260" s="11"/>
      <c r="I1260" s="14">
        <v>2</v>
      </c>
      <c r="J1260" s="14">
        <v>4</v>
      </c>
      <c r="K1260" s="15" t="str">
        <f>HYPERLINK("http://twitter.com","Twitter Web Client")</f>
        <v>Twitter Web Client</v>
      </c>
      <c r="L1260" s="14">
        <v>8276</v>
      </c>
      <c r="M1260" s="14">
        <v>8434</v>
      </c>
      <c r="N1260" s="14">
        <v>20</v>
      </c>
      <c r="O1260" s="16"/>
      <c r="P1260" s="6">
        <v>42992.106516203705</v>
      </c>
      <c r="Q1260" s="12" t="s">
        <v>5089</v>
      </c>
      <c r="R1260" s="17" t="s">
        <v>5090</v>
      </c>
      <c r="S1260" s="11"/>
      <c r="T1260" s="11"/>
      <c r="U1260" s="10" t="str">
        <f>HYPERLINK("https://pbs.twimg.com/profile_images/920346803001856000/ZsnGz_F1.jpg","View")</f>
        <v>View</v>
      </c>
    </row>
    <row r="1261" spans="1:21" ht="51">
      <c r="A1261" s="6">
        <v>43439.881226851852</v>
      </c>
      <c r="B1261" s="7" t="str">
        <f>HYPERLINK("https://twitter.com/ConCiudanos","@ConCiudanos")</f>
        <v>@ConCiudanos</v>
      </c>
      <c r="C1261" s="8" t="s">
        <v>4314</v>
      </c>
      <c r="D1261" s="9" t="s">
        <v>4315</v>
      </c>
      <c r="E1261" s="10" t="str">
        <f>HYPERLINK("https://twitter.com/ConCiudanos/status/1070409716487110656","1070409716487110656")</f>
        <v>1070409716487110656</v>
      </c>
      <c r="F1261" s="11"/>
      <c r="G1261" s="11"/>
      <c r="H1261" s="11"/>
      <c r="I1261" s="14">
        <v>0</v>
      </c>
      <c r="J1261" s="14">
        <v>0</v>
      </c>
      <c r="K1261" s="15" t="str">
        <f>HYPERLINK("http://twitter.com/download/android","Twitter for Android")</f>
        <v>Twitter for Android</v>
      </c>
      <c r="L1261" s="14">
        <v>1670</v>
      </c>
      <c r="M1261" s="14">
        <v>2010</v>
      </c>
      <c r="N1261" s="14">
        <v>20</v>
      </c>
      <c r="O1261" s="16"/>
      <c r="P1261" s="6">
        <v>42329.589444444442</v>
      </c>
      <c r="Q1261" s="11"/>
      <c r="R1261" s="17" t="s">
        <v>4316</v>
      </c>
      <c r="S1261" s="11"/>
      <c r="T1261" s="11"/>
      <c r="U1261" s="10" t="str">
        <f>HYPERLINK("https://pbs.twimg.com/profile_images/741445369532448769/72IVQvlc.jpg","View")</f>
        <v>View</v>
      </c>
    </row>
    <row r="1262" spans="1:21" ht="51">
      <c r="A1262" s="6">
        <v>43439.881053240737</v>
      </c>
      <c r="B1262" s="7" t="str">
        <f>HYPERLINK("https://twitter.com/CiudadanosCs","@CiudadanosCs")</f>
        <v>@CiudadanosCs</v>
      </c>
      <c r="C1262" s="8" t="s">
        <v>489</v>
      </c>
      <c r="D1262" s="9" t="s">
        <v>1846</v>
      </c>
      <c r="E1262" s="10" t="str">
        <f>HYPERLINK("https://twitter.com/CiudadanosCs/status/1070409652465270785","1070409652465270785")</f>
        <v>1070409652465270785</v>
      </c>
      <c r="F1262" s="11"/>
      <c r="G1262" s="13" t="s">
        <v>3102</v>
      </c>
      <c r="H1262" s="11"/>
      <c r="I1262" s="14">
        <v>128</v>
      </c>
      <c r="J1262" s="14">
        <v>247</v>
      </c>
      <c r="K1262" s="15" t="str">
        <f>HYPERLINK("http://twitter.com","Twitter Web Client")</f>
        <v>Twitter Web Client</v>
      </c>
      <c r="L1262" s="14">
        <v>490821</v>
      </c>
      <c r="M1262" s="14">
        <v>93557</v>
      </c>
      <c r="N1262" s="14">
        <v>3338</v>
      </c>
      <c r="O1262" s="19" t="s">
        <v>42</v>
      </c>
      <c r="P1262" s="6">
        <v>39828.753460648149</v>
      </c>
      <c r="Q1262" s="12" t="s">
        <v>137</v>
      </c>
      <c r="R1262" s="17" t="s">
        <v>492</v>
      </c>
      <c r="S1262" s="13" t="s">
        <v>493</v>
      </c>
      <c r="T1262" s="11"/>
      <c r="U1262" s="10" t="str">
        <f>HYPERLINK("https://pbs.twimg.com/profile_images/1053554096161075200/1z77_zBZ.jpg","View")</f>
        <v>View</v>
      </c>
    </row>
    <row r="1263" spans="1:21" ht="20.399999999999999">
      <c r="A1263" s="6">
        <v>43439.880601851852</v>
      </c>
      <c r="B1263" s="7" t="str">
        <f>HYPERLINK("https://twitter.com/oskilla_pm","@oskilla_pm")</f>
        <v>@oskilla_pm</v>
      </c>
      <c r="C1263" s="8" t="s">
        <v>2855</v>
      </c>
      <c r="D1263" s="9" t="s">
        <v>4319</v>
      </c>
      <c r="E1263" s="10" t="str">
        <f>HYPERLINK("https://twitter.com/oskilla_pm/status/1070409490875457537","1070409490875457537")</f>
        <v>1070409490875457537</v>
      </c>
      <c r="F1263" s="13" t="s">
        <v>4321</v>
      </c>
      <c r="G1263" s="11"/>
      <c r="H1263" s="11"/>
      <c r="I1263" s="14">
        <v>0</v>
      </c>
      <c r="J1263" s="14">
        <v>0</v>
      </c>
      <c r="K1263" s="15" t="str">
        <f>HYPERLINK("http://twitter.com/download/android","Twitter for Android")</f>
        <v>Twitter for Android</v>
      </c>
      <c r="L1263" s="14">
        <v>89</v>
      </c>
      <c r="M1263" s="14">
        <v>1124</v>
      </c>
      <c r="N1263" s="14">
        <v>0</v>
      </c>
      <c r="O1263" s="16"/>
      <c r="P1263" s="6">
        <v>42251.604548611111</v>
      </c>
      <c r="Q1263" s="11"/>
      <c r="R1263" s="18"/>
      <c r="S1263" s="11"/>
      <c r="T1263" s="11"/>
      <c r="U1263" s="10" t="str">
        <f>HYPERLINK("https://pbs.twimg.com/profile_images/1070407185799229440/knCrnNlm.jpg","View")</f>
        <v>View</v>
      </c>
    </row>
    <row r="1264" spans="1:21" ht="40.799999999999997">
      <c r="A1264" s="6">
        <v>43439.879675925928</v>
      </c>
      <c r="B1264" s="7" t="str">
        <f>HYPERLINK("https://twitter.com/EnriqueBoto","@EnriqueBoto")</f>
        <v>@EnriqueBoto</v>
      </c>
      <c r="C1264" s="8" t="s">
        <v>3819</v>
      </c>
      <c r="D1264" s="9" t="s">
        <v>4326</v>
      </c>
      <c r="E1264" s="10" t="str">
        <f>HYPERLINK("https://twitter.com/EnriqueBoto/status/1070409154697854976","1070409154697854976")</f>
        <v>1070409154697854976</v>
      </c>
      <c r="F1264" s="13" t="s">
        <v>4327</v>
      </c>
      <c r="G1264" s="11"/>
      <c r="H1264" s="11"/>
      <c r="I1264" s="14">
        <v>5</v>
      </c>
      <c r="J1264" s="14">
        <v>2</v>
      </c>
      <c r="K1264" s="15" t="str">
        <f t="shared" ref="K1264:K1266" si="262">HYPERLINK("http://twitter.com","Twitter Web Client")</f>
        <v>Twitter Web Client</v>
      </c>
      <c r="L1264" s="14">
        <v>1420</v>
      </c>
      <c r="M1264" s="14">
        <v>962</v>
      </c>
      <c r="N1264" s="14">
        <v>14</v>
      </c>
      <c r="O1264" s="16"/>
      <c r="P1264" s="6">
        <v>41575.47896990741</v>
      </c>
      <c r="Q1264" s="12" t="s">
        <v>3823</v>
      </c>
      <c r="R1264" s="17" t="s">
        <v>3824</v>
      </c>
      <c r="S1264" s="11"/>
      <c r="T1264" s="11"/>
      <c r="U1264" s="10" t="str">
        <f>HYPERLINK("https://pbs.twimg.com/profile_images/432673214150356992/k4dht69u.png","View")</f>
        <v>View</v>
      </c>
    </row>
    <row r="1265" spans="1:21" ht="40.799999999999997">
      <c r="A1265" s="6">
        <v>43439.879594907412</v>
      </c>
      <c r="B1265" s="7" t="str">
        <f>HYPERLINK("https://twitter.com/penolopeenmadri","@penolopeenmadri")</f>
        <v>@penolopeenmadri</v>
      </c>
      <c r="C1265" s="8" t="s">
        <v>4303</v>
      </c>
      <c r="D1265" s="9" t="s">
        <v>4330</v>
      </c>
      <c r="E1265" s="10" t="str">
        <f>HYPERLINK("https://twitter.com/penolopeenmadri/status/1070409126432387078","1070409126432387078")</f>
        <v>1070409126432387078</v>
      </c>
      <c r="F1265" s="13" t="s">
        <v>4331</v>
      </c>
      <c r="G1265" s="11"/>
      <c r="H1265" s="11"/>
      <c r="I1265" s="14">
        <v>0</v>
      </c>
      <c r="J1265" s="14">
        <v>0</v>
      </c>
      <c r="K1265" s="15" t="str">
        <f t="shared" si="262"/>
        <v>Twitter Web Client</v>
      </c>
      <c r="L1265" s="14">
        <v>609</v>
      </c>
      <c r="M1265" s="14">
        <v>556</v>
      </c>
      <c r="N1265" s="14">
        <v>14</v>
      </c>
      <c r="O1265" s="16"/>
      <c r="P1265" s="6">
        <v>41099.920254629629</v>
      </c>
      <c r="Q1265" s="11"/>
      <c r="R1265" s="17" t="s">
        <v>4306</v>
      </c>
      <c r="S1265" s="11"/>
      <c r="T1265" s="11"/>
      <c r="U1265" s="10" t="str">
        <f>HYPERLINK("https://pbs.twimg.com/profile_images/1011351405213507586/1MHBCoOf.jpg","View")</f>
        <v>View</v>
      </c>
    </row>
    <row r="1266" spans="1:21" ht="40.799999999999997">
      <c r="A1266" s="6">
        <v>43439.879201388889</v>
      </c>
      <c r="B1266" s="7" t="str">
        <f>HYPERLINK("https://twitter.com/enriquedediegov","@enriquedediegov")</f>
        <v>@enriquedediegov</v>
      </c>
      <c r="C1266" s="8" t="s">
        <v>5108</v>
      </c>
      <c r="D1266" s="9" t="s">
        <v>5109</v>
      </c>
      <c r="E1266" s="10" t="str">
        <f>HYPERLINK("https://twitter.com/enriquedediegov/status/1070408984409051138","1070408984409051138")</f>
        <v>1070408984409051138</v>
      </c>
      <c r="F1266" s="13" t="s">
        <v>5112</v>
      </c>
      <c r="G1266" s="11"/>
      <c r="H1266" s="11"/>
      <c r="I1266" s="14">
        <v>0</v>
      </c>
      <c r="J1266" s="14">
        <v>0</v>
      </c>
      <c r="K1266" s="15" t="str">
        <f t="shared" si="262"/>
        <v>Twitter Web Client</v>
      </c>
      <c r="L1266" s="14">
        <v>7792</v>
      </c>
      <c r="M1266" s="14">
        <v>6053</v>
      </c>
      <c r="N1266" s="14">
        <v>179</v>
      </c>
      <c r="O1266" s="16"/>
      <c r="P1266" s="6">
        <v>41293.717129629629</v>
      </c>
      <c r="Q1266" s="12" t="s">
        <v>137</v>
      </c>
      <c r="R1266" s="17" t="s">
        <v>5113</v>
      </c>
      <c r="S1266" s="13" t="s">
        <v>5114</v>
      </c>
      <c r="T1266" s="11"/>
      <c r="U1266" s="10" t="str">
        <f>HYPERLINK("https://pbs.twimg.com/profile_images/3129623790/4ae197d01442e05dee4622297c3b9642.jpeg","View")</f>
        <v>View</v>
      </c>
    </row>
    <row r="1267" spans="1:21" ht="61.2">
      <c r="A1267" s="6">
        <v>43439.87799768518</v>
      </c>
      <c r="B1267" s="7" t="str">
        <f>HYPERLINK("https://twitter.com/passion_eterna","@passion_eterna")</f>
        <v>@passion_eterna</v>
      </c>
      <c r="C1267" s="8" t="s">
        <v>1741</v>
      </c>
      <c r="D1267" s="9" t="s">
        <v>4332</v>
      </c>
      <c r="E1267" s="10" t="str">
        <f>HYPERLINK("https://twitter.com/passion_eterna/status/1070408545173164032","1070408545173164032")</f>
        <v>1070408545173164032</v>
      </c>
      <c r="F1267" s="11"/>
      <c r="G1267" s="11"/>
      <c r="H1267" s="11"/>
      <c r="I1267" s="14">
        <v>0</v>
      </c>
      <c r="J1267" s="14">
        <v>1</v>
      </c>
      <c r="K1267" s="15" t="str">
        <f>HYPERLINK("http://twitter.com/download/iphone","Twitter for iPhone")</f>
        <v>Twitter for iPhone</v>
      </c>
      <c r="L1267" s="14">
        <v>466</v>
      </c>
      <c r="M1267" s="14">
        <v>848</v>
      </c>
      <c r="N1267" s="14">
        <v>2</v>
      </c>
      <c r="O1267" s="16"/>
      <c r="P1267" s="6">
        <v>41466.453032407408</v>
      </c>
      <c r="Q1267" s="12" t="s">
        <v>1743</v>
      </c>
      <c r="R1267" s="17" t="s">
        <v>1744</v>
      </c>
      <c r="S1267" s="11"/>
      <c r="T1267" s="11"/>
      <c r="U1267" s="10" t="str">
        <f>HYPERLINK("https://pbs.twimg.com/profile_images/850287638967980032/1aJzaYSw.jpg","View")</f>
        <v>View</v>
      </c>
    </row>
    <row r="1268" spans="1:21" ht="51">
      <c r="A1268" s="6">
        <v>43439.876388888893</v>
      </c>
      <c r="B1268" s="7" t="str">
        <f t="shared" ref="B1268:B1269" si="263">HYPERLINK("https://twitter.com/bitMomentum","@bitMomentum")</f>
        <v>@bitMomentum</v>
      </c>
      <c r="C1268" s="8" t="s">
        <v>1889</v>
      </c>
      <c r="D1268" s="9" t="s">
        <v>4335</v>
      </c>
      <c r="E1268" s="10" t="str">
        <f>HYPERLINK("https://twitter.com/bitMomentum/status/1070407962785669123","1070407962785669123")</f>
        <v>1070407962785669123</v>
      </c>
      <c r="F1268" s="11"/>
      <c r="G1268" s="11"/>
      <c r="H1268" s="11"/>
      <c r="I1268" s="14">
        <v>0</v>
      </c>
      <c r="J1268" s="14">
        <v>1</v>
      </c>
      <c r="K1268" s="15" t="str">
        <f t="shared" ref="K1268:K1269" si="264">HYPERLINK("http://www.bitmomentum.com","bitMomentum Bot")</f>
        <v>bitMomentum Bot</v>
      </c>
      <c r="L1268" s="14">
        <v>10254</v>
      </c>
      <c r="M1268" s="14">
        <v>1059</v>
      </c>
      <c r="N1268" s="14">
        <v>263</v>
      </c>
      <c r="O1268" s="16"/>
      <c r="P1268" s="6">
        <v>41608.667511574073</v>
      </c>
      <c r="Q1268" s="11"/>
      <c r="R1268" s="17" t="s">
        <v>1897</v>
      </c>
      <c r="S1268" s="13" t="s">
        <v>1898</v>
      </c>
      <c r="T1268" s="11"/>
      <c r="U1268" s="10" t="str">
        <f t="shared" ref="U1268:U1269" si="265">HYPERLINK("https://pbs.twimg.com/profile_images/378800000862185241/20ij2H3u.png","View")</f>
        <v>View</v>
      </c>
    </row>
    <row r="1269" spans="1:21" ht="51">
      <c r="A1269" s="6">
        <v>43439.875694444447</v>
      </c>
      <c r="B1269" s="7" t="str">
        <f t="shared" si="263"/>
        <v>@bitMomentum</v>
      </c>
      <c r="C1269" s="8" t="s">
        <v>1889</v>
      </c>
      <c r="D1269" s="9" t="s">
        <v>4336</v>
      </c>
      <c r="E1269" s="10" t="str">
        <f>HYPERLINK("https://twitter.com/bitMomentum/status/1070407711135813632","1070407711135813632")</f>
        <v>1070407711135813632</v>
      </c>
      <c r="F1269" s="11"/>
      <c r="G1269" s="11"/>
      <c r="H1269" s="11"/>
      <c r="I1269" s="14">
        <v>1</v>
      </c>
      <c r="J1269" s="14">
        <v>1</v>
      </c>
      <c r="K1269" s="15" t="str">
        <f t="shared" si="264"/>
        <v>bitMomentum Bot</v>
      </c>
      <c r="L1269" s="14">
        <v>10254</v>
      </c>
      <c r="M1269" s="14">
        <v>1059</v>
      </c>
      <c r="N1269" s="14">
        <v>263</v>
      </c>
      <c r="O1269" s="16"/>
      <c r="P1269" s="6">
        <v>41608.667511574073</v>
      </c>
      <c r="Q1269" s="11"/>
      <c r="R1269" s="17" t="s">
        <v>1897</v>
      </c>
      <c r="S1269" s="13" t="s">
        <v>1898</v>
      </c>
      <c r="T1269" s="11"/>
      <c r="U1269" s="10" t="str">
        <f t="shared" si="265"/>
        <v>View</v>
      </c>
    </row>
    <row r="1270" spans="1:21" ht="30.6">
      <c r="A1270" s="6">
        <v>43439.875428240739</v>
      </c>
      <c r="B1270" s="7" t="str">
        <f>HYPERLINK("https://twitter.com/EPcultura_cas","@EPcultura_cas")</f>
        <v>@EPcultura_cas</v>
      </c>
      <c r="C1270" s="8" t="s">
        <v>5124</v>
      </c>
      <c r="D1270" s="9" t="s">
        <v>2196</v>
      </c>
      <c r="E1270" s="10" t="str">
        <f>HYPERLINK("https://twitter.com/EPcultura_cas/status/1070407615736410112","1070407615736410112")</f>
        <v>1070407615736410112</v>
      </c>
      <c r="F1270" s="13" t="s">
        <v>5125</v>
      </c>
      <c r="G1270" s="11"/>
      <c r="H1270" s="11"/>
      <c r="I1270" s="14">
        <v>0</v>
      </c>
      <c r="J1270" s="14">
        <v>0</v>
      </c>
      <c r="K1270" s="15" t="str">
        <f>HYPERLINK("http://dogtrack.es","DogTrack_Oficial")</f>
        <v>DogTrack_Oficial</v>
      </c>
      <c r="L1270" s="14">
        <v>1987</v>
      </c>
      <c r="M1270" s="14">
        <v>29</v>
      </c>
      <c r="N1270" s="14">
        <v>102</v>
      </c>
      <c r="O1270" s="16"/>
      <c r="P1270" s="6">
        <v>40963.564340277779</v>
      </c>
      <c r="Q1270" s="12" t="s">
        <v>83</v>
      </c>
      <c r="R1270" s="17" t="s">
        <v>5127</v>
      </c>
      <c r="S1270" s="13" t="s">
        <v>5128</v>
      </c>
      <c r="T1270" s="11"/>
      <c r="U1270" s="10" t="str">
        <f>HYPERLINK("https://pbs.twimg.com/profile_images/875767964695494656/eK0vfMyo.jpg","View")</f>
        <v>View</v>
      </c>
    </row>
    <row r="1271" spans="1:21" ht="30.6">
      <c r="A1271" s="6">
        <v>43439.875416666662</v>
      </c>
      <c r="B1271" s="7" t="str">
        <f>HYPERLINK("https://twitter.com/XavierErausquin","@XavierErausquin")</f>
        <v>@XavierErausquin</v>
      </c>
      <c r="C1271" s="8" t="s">
        <v>4339</v>
      </c>
      <c r="D1271" s="9" t="s">
        <v>4341</v>
      </c>
      <c r="E1271" s="10" t="str">
        <f>HYPERLINK("https://twitter.com/XavierErausquin/status/1070407609742708736","1070407609742708736")</f>
        <v>1070407609742708736</v>
      </c>
      <c r="F1271" s="11"/>
      <c r="G1271" s="13" t="s">
        <v>4343</v>
      </c>
      <c r="H1271" s="11"/>
      <c r="I1271" s="14">
        <v>4</v>
      </c>
      <c r="J1271" s="14">
        <v>3</v>
      </c>
      <c r="K1271" s="15" t="str">
        <f t="shared" ref="K1271:K1278" si="266">HYPERLINK("http://twitter.com/download/android","Twitter for Android")</f>
        <v>Twitter for Android</v>
      </c>
      <c r="L1271" s="14">
        <v>1205</v>
      </c>
      <c r="M1271" s="14">
        <v>985</v>
      </c>
      <c r="N1271" s="14">
        <v>2</v>
      </c>
      <c r="O1271" s="16"/>
      <c r="P1271" s="6">
        <v>43082.773009259261</v>
      </c>
      <c r="Q1271" s="12" t="s">
        <v>1785</v>
      </c>
      <c r="R1271" s="17" t="s">
        <v>4344</v>
      </c>
      <c r="S1271" s="11"/>
      <c r="T1271" s="11"/>
      <c r="U1271" s="10" t="str">
        <f>HYPERLINK("https://pbs.twimg.com/profile_images/1060492263824990208/Jkd3jT_8.jpg","View")</f>
        <v>View</v>
      </c>
    </row>
    <row r="1272" spans="1:21" ht="40.799999999999997">
      <c r="A1272" s="6">
        <v>43439.874583333338</v>
      </c>
      <c r="B1272" s="7" t="str">
        <f>HYPERLINK("https://twitter.com/PayasoSinTitulo","@PayasoSinTitulo")</f>
        <v>@PayasoSinTitulo</v>
      </c>
      <c r="C1272" s="8" t="s">
        <v>4345</v>
      </c>
      <c r="D1272" s="9" t="s">
        <v>4346</v>
      </c>
      <c r="E1272" s="10" t="str">
        <f>HYPERLINK("https://twitter.com/PayasoSinTitulo/status/1070407308004507648","1070407308004507648")</f>
        <v>1070407308004507648</v>
      </c>
      <c r="F1272" s="11"/>
      <c r="G1272" s="13" t="s">
        <v>4348</v>
      </c>
      <c r="H1272" s="11"/>
      <c r="I1272" s="14">
        <v>37</v>
      </c>
      <c r="J1272" s="14">
        <v>33</v>
      </c>
      <c r="K1272" s="15" t="str">
        <f t="shared" si="266"/>
        <v>Twitter for Android</v>
      </c>
      <c r="L1272" s="14">
        <v>604</v>
      </c>
      <c r="M1272" s="14">
        <v>1103</v>
      </c>
      <c r="N1272" s="14">
        <v>0</v>
      </c>
      <c r="O1272" s="16"/>
      <c r="P1272" s="6">
        <v>43421.938981481479</v>
      </c>
      <c r="Q1272" s="12" t="s">
        <v>4350</v>
      </c>
      <c r="R1272" s="17" t="s">
        <v>4351</v>
      </c>
      <c r="S1272" s="11"/>
      <c r="T1272" s="11"/>
      <c r="U1272" s="10" t="str">
        <f>HYPERLINK("https://pbs.twimg.com/profile_images/1064189853942857728/aBjY9SlP.jpg","View")</f>
        <v>View</v>
      </c>
    </row>
    <row r="1273" spans="1:21" ht="40.799999999999997">
      <c r="A1273" s="6">
        <v>43439.873749999999</v>
      </c>
      <c r="B1273" s="7" t="str">
        <f>HYPERLINK("https://twitter.com/DavidLabradorCs","@DavidLabradorCs")</f>
        <v>@DavidLabradorCs</v>
      </c>
      <c r="C1273" s="8" t="s">
        <v>4352</v>
      </c>
      <c r="D1273" s="9" t="s">
        <v>4353</v>
      </c>
      <c r="E1273" s="10" t="str">
        <f>HYPERLINK("https://twitter.com/DavidLabradorCs/status/1070407007386120193","1070407007386120193")</f>
        <v>1070407007386120193</v>
      </c>
      <c r="F1273" s="11"/>
      <c r="G1273" s="13" t="s">
        <v>4354</v>
      </c>
      <c r="H1273" s="11"/>
      <c r="I1273" s="14">
        <v>11</v>
      </c>
      <c r="J1273" s="14">
        <v>26</v>
      </c>
      <c r="K1273" s="15" t="str">
        <f t="shared" si="266"/>
        <v>Twitter for Android</v>
      </c>
      <c r="L1273" s="14">
        <v>809</v>
      </c>
      <c r="M1273" s="14">
        <v>1730</v>
      </c>
      <c r="N1273" s="14">
        <v>7</v>
      </c>
      <c r="O1273" s="16"/>
      <c r="P1273" s="6">
        <v>42259.788078703699</v>
      </c>
      <c r="Q1273" s="12" t="s">
        <v>4355</v>
      </c>
      <c r="R1273" s="17" t="s">
        <v>4356</v>
      </c>
      <c r="S1273" s="11"/>
      <c r="T1273" s="11"/>
      <c r="U1273" s="10" t="str">
        <f>HYPERLINK("https://pbs.twimg.com/profile_images/955952040294920194/RI5JJA9N.jpg","View")</f>
        <v>View</v>
      </c>
    </row>
    <row r="1274" spans="1:21" ht="13.2">
      <c r="A1274" s="6">
        <v>43439.873692129629</v>
      </c>
      <c r="B1274" s="7" t="str">
        <f>HYPERLINK("https://twitter.com/emylioalfaro96","@emylioalfaro96")</f>
        <v>@emylioalfaro96</v>
      </c>
      <c r="C1274" s="8" t="s">
        <v>5134</v>
      </c>
      <c r="D1274" s="9" t="s">
        <v>5135</v>
      </c>
      <c r="E1274" s="10" t="str">
        <f>HYPERLINK("https://twitter.com/emylioalfaro96/status/1070406984980201473","1070406984980201473")</f>
        <v>1070406984980201473</v>
      </c>
      <c r="F1274" s="11"/>
      <c r="G1274" s="11"/>
      <c r="H1274" s="11"/>
      <c r="I1274" s="14">
        <v>0</v>
      </c>
      <c r="J1274" s="14">
        <v>1</v>
      </c>
      <c r="K1274" s="15" t="str">
        <f t="shared" si="266"/>
        <v>Twitter for Android</v>
      </c>
      <c r="L1274" s="14">
        <v>423</v>
      </c>
      <c r="M1274" s="14">
        <v>356</v>
      </c>
      <c r="N1274" s="14">
        <v>5</v>
      </c>
      <c r="O1274" s="16"/>
      <c r="P1274" s="6">
        <v>40829.325613425928</v>
      </c>
      <c r="Q1274" s="12">
        <v>-1.03</v>
      </c>
      <c r="R1274" s="17" t="s">
        <v>5136</v>
      </c>
      <c r="S1274" s="13" t="s">
        <v>5137</v>
      </c>
      <c r="T1274" s="11"/>
      <c r="U1274" s="10" t="str">
        <f>HYPERLINK("https://pbs.twimg.com/profile_images/972269555514073088/1jCj05Z7.jpg","View")</f>
        <v>View</v>
      </c>
    </row>
    <row r="1275" spans="1:21" ht="61.2">
      <c r="A1275" s="6">
        <v>43439.873657407406</v>
      </c>
      <c r="B1275" s="7" t="str">
        <f>HYPERLINK("https://twitter.com/ViendoElPercal_","@ViendoElPercal_")</f>
        <v>@ViendoElPercal_</v>
      </c>
      <c r="C1275" s="8" t="s">
        <v>4357</v>
      </c>
      <c r="D1275" s="9" t="s">
        <v>4358</v>
      </c>
      <c r="E1275" s="10" t="str">
        <f>HYPERLINK("https://twitter.com/ViendoElPercal_/status/1070406974112718848","1070406974112718848")</f>
        <v>1070406974112718848</v>
      </c>
      <c r="F1275" s="12" t="s">
        <v>4359</v>
      </c>
      <c r="G1275" s="11"/>
      <c r="H1275" s="11"/>
      <c r="I1275" s="14">
        <v>0</v>
      </c>
      <c r="J1275" s="14">
        <v>2</v>
      </c>
      <c r="K1275" s="15" t="str">
        <f t="shared" si="266"/>
        <v>Twitter for Android</v>
      </c>
      <c r="L1275" s="14">
        <v>237</v>
      </c>
      <c r="M1275" s="14">
        <v>163</v>
      </c>
      <c r="N1275" s="14">
        <v>0</v>
      </c>
      <c r="O1275" s="16"/>
      <c r="P1275" s="6">
        <v>43304.570057870369</v>
      </c>
      <c r="Q1275" s="12" t="s">
        <v>4360</v>
      </c>
      <c r="R1275" s="17" t="s">
        <v>4361</v>
      </c>
      <c r="S1275" s="11"/>
      <c r="T1275" s="11"/>
      <c r="U1275" s="10" t="str">
        <f>HYPERLINK("https://pbs.twimg.com/profile_images/1062882226323578880/5NGehVXt.jpg","View")</f>
        <v>View</v>
      </c>
    </row>
    <row r="1276" spans="1:21" ht="13.2">
      <c r="A1276" s="6">
        <v>43439.872523148151</v>
      </c>
      <c r="B1276" s="7" t="str">
        <f>HYPERLINK("https://twitter.com/ivanestupidov","@ivanestupidov")</f>
        <v>@ivanestupidov</v>
      </c>
      <c r="C1276" s="8" t="s">
        <v>5141</v>
      </c>
      <c r="D1276" s="9" t="s">
        <v>5142</v>
      </c>
      <c r="E1276" s="10" t="str">
        <f>HYPERLINK("https://twitter.com/ivanestupidov/status/1070406564400545793","1070406564400545793")</f>
        <v>1070406564400545793</v>
      </c>
      <c r="F1276" s="13" t="s">
        <v>4918</v>
      </c>
      <c r="G1276" s="13" t="s">
        <v>4919</v>
      </c>
      <c r="H1276" s="11"/>
      <c r="I1276" s="14">
        <v>0</v>
      </c>
      <c r="J1276" s="14">
        <v>5</v>
      </c>
      <c r="K1276" s="15" t="str">
        <f t="shared" si="266"/>
        <v>Twitter for Android</v>
      </c>
      <c r="L1276" s="14">
        <v>465</v>
      </c>
      <c r="M1276" s="14">
        <v>274</v>
      </c>
      <c r="N1276" s="14">
        <v>0</v>
      </c>
      <c r="O1276" s="16"/>
      <c r="P1276" s="6">
        <v>40923.703402777777</v>
      </c>
      <c r="Q1276" s="12" t="s">
        <v>5144</v>
      </c>
      <c r="R1276" s="17" t="s">
        <v>5145</v>
      </c>
      <c r="S1276" s="13" t="s">
        <v>5146</v>
      </c>
      <c r="T1276" s="11"/>
      <c r="U1276" s="10" t="str">
        <f>HYPERLINK("https://pbs.twimg.com/profile_images/1036246751211126784/U-yOYiP3.jpg","View")</f>
        <v>View</v>
      </c>
    </row>
    <row r="1277" spans="1:21" ht="51">
      <c r="A1277" s="6">
        <v>43439.870729166665</v>
      </c>
      <c r="B1277" s="7" t="str">
        <f>HYPERLINK("https://twitter.com/MramosMAD","@MramosMAD")</f>
        <v>@MramosMAD</v>
      </c>
      <c r="C1277" s="8" t="s">
        <v>4365</v>
      </c>
      <c r="D1277" s="9" t="s">
        <v>4366</v>
      </c>
      <c r="E1277" s="10" t="str">
        <f>HYPERLINK("https://twitter.com/MramosMAD/status/1070405911217401857","1070405911217401857")</f>
        <v>1070405911217401857</v>
      </c>
      <c r="F1277" s="11"/>
      <c r="G1277" s="11"/>
      <c r="H1277" s="11"/>
      <c r="I1277" s="14">
        <v>0</v>
      </c>
      <c r="J1277" s="14">
        <v>0</v>
      </c>
      <c r="K1277" s="15" t="str">
        <f t="shared" si="266"/>
        <v>Twitter for Android</v>
      </c>
      <c r="L1277" s="14">
        <v>38</v>
      </c>
      <c r="M1277" s="14">
        <v>101</v>
      </c>
      <c r="N1277" s="14">
        <v>0</v>
      </c>
      <c r="O1277" s="16"/>
      <c r="P1277" s="6">
        <v>40830.666481481479</v>
      </c>
      <c r="Q1277" s="12" t="s">
        <v>29</v>
      </c>
      <c r="R1277" s="18"/>
      <c r="S1277" s="11"/>
      <c r="T1277" s="11"/>
      <c r="U1277" s="10" t="str">
        <f>HYPERLINK("https://pbs.twimg.com/profile_images/3664434186/3f6a9143c43e9922d6dd6ea66087b721.jpeg","View")</f>
        <v>View</v>
      </c>
    </row>
    <row r="1278" spans="1:21" ht="51">
      <c r="A1278" s="6">
        <v>43439.870648148149</v>
      </c>
      <c r="B1278" s="7" t="str">
        <f>HYPERLINK("https://twitter.com/JavierEdrosa","@JavierEdrosa")</f>
        <v>@JavierEdrosa</v>
      </c>
      <c r="C1278" s="8" t="s">
        <v>4368</v>
      </c>
      <c r="D1278" s="9" t="s">
        <v>4369</v>
      </c>
      <c r="E1278" s="10" t="str">
        <f>HYPERLINK("https://twitter.com/JavierEdrosa/status/1070405885661458432","1070405885661458432")</f>
        <v>1070405885661458432</v>
      </c>
      <c r="F1278" s="11"/>
      <c r="G1278" s="13" t="s">
        <v>4249</v>
      </c>
      <c r="H1278" s="11"/>
      <c r="I1278" s="14">
        <v>3</v>
      </c>
      <c r="J1278" s="14">
        <v>5</v>
      </c>
      <c r="K1278" s="15" t="str">
        <f t="shared" si="266"/>
        <v>Twitter for Android</v>
      </c>
      <c r="L1278" s="14">
        <v>1481</v>
      </c>
      <c r="M1278" s="14">
        <v>797</v>
      </c>
      <c r="N1278" s="14">
        <v>32</v>
      </c>
      <c r="O1278" s="16"/>
      <c r="P1278" s="6">
        <v>40864.77820601852</v>
      </c>
      <c r="Q1278" s="12" t="s">
        <v>1785</v>
      </c>
      <c r="R1278" s="17" t="s">
        <v>4370</v>
      </c>
      <c r="S1278" s="11"/>
      <c r="T1278" s="11"/>
      <c r="U1278" s="10" t="str">
        <f>HYPERLINK("https://pbs.twimg.com/profile_images/1025671494360354816/Scu_r6kF.jpg","View")</f>
        <v>View</v>
      </c>
    </row>
    <row r="1279" spans="1:21" ht="81.599999999999994">
      <c r="A1279" s="6">
        <v>43439.870300925926</v>
      </c>
      <c r="B1279" s="7" t="str">
        <f>HYPERLINK("https://twitter.com/PatriciaReyesCs","@PatriciaReyesCs")</f>
        <v>@PatriciaReyesCs</v>
      </c>
      <c r="C1279" s="8" t="s">
        <v>4371</v>
      </c>
      <c r="D1279" s="9" t="s">
        <v>4372</v>
      </c>
      <c r="E1279" s="10" t="str">
        <f>HYPERLINK("https://twitter.com/PatriciaReyesCs/status/1070405757072539649","1070405757072539649")</f>
        <v>1070405757072539649</v>
      </c>
      <c r="F1279" s="13" t="s">
        <v>4373</v>
      </c>
      <c r="G1279" s="13" t="s">
        <v>4376</v>
      </c>
      <c r="H1279" s="11"/>
      <c r="I1279" s="14">
        <v>107</v>
      </c>
      <c r="J1279" s="14">
        <v>218</v>
      </c>
      <c r="K1279" s="15" t="str">
        <f>HYPERLINK("http://twitter.com/download/iphone","Twitter for iPhone")</f>
        <v>Twitter for iPhone</v>
      </c>
      <c r="L1279" s="14">
        <v>12100</v>
      </c>
      <c r="M1279" s="14">
        <v>888</v>
      </c>
      <c r="N1279" s="14">
        <v>181</v>
      </c>
      <c r="O1279" s="19" t="s">
        <v>42</v>
      </c>
      <c r="P1279" s="6">
        <v>42127.930393518516</v>
      </c>
      <c r="Q1279" s="11"/>
      <c r="R1279" s="17" t="s">
        <v>4378</v>
      </c>
      <c r="S1279" s="13" t="s">
        <v>822</v>
      </c>
      <c r="T1279" s="11"/>
      <c r="U1279" s="10" t="str">
        <f>HYPERLINK("https://pbs.twimg.com/profile_images/1016903247204900865/R2564qRt.jpg","View")</f>
        <v>View</v>
      </c>
    </row>
    <row r="1280" spans="1:21" ht="40.799999999999997">
      <c r="A1280" s="6">
        <v>43439.870057870372</v>
      </c>
      <c r="B1280" s="7" t="str">
        <f>HYPERLINK("https://twitter.com/Lametuercas","@Lametuercas")</f>
        <v>@Lametuercas</v>
      </c>
      <c r="C1280" s="8" t="s">
        <v>5156</v>
      </c>
      <c r="D1280" s="9" t="s">
        <v>5157</v>
      </c>
      <c r="E1280" s="10" t="str">
        <f>HYPERLINK("https://twitter.com/Lametuercas/status/1070405671223521282","1070405671223521282")</f>
        <v>1070405671223521282</v>
      </c>
      <c r="F1280" s="11"/>
      <c r="G1280" s="11"/>
      <c r="H1280" s="11"/>
      <c r="I1280" s="14">
        <v>0</v>
      </c>
      <c r="J1280" s="14">
        <v>3</v>
      </c>
      <c r="K1280" s="15" t="str">
        <f t="shared" ref="K1280:K1281" si="267">HYPERLINK("http://twitter.com","Twitter Web Client")</f>
        <v>Twitter Web Client</v>
      </c>
      <c r="L1280" s="14">
        <v>190</v>
      </c>
      <c r="M1280" s="14">
        <v>21</v>
      </c>
      <c r="N1280" s="14">
        <v>2</v>
      </c>
      <c r="O1280" s="16"/>
      <c r="P1280" s="6">
        <v>42851.517395833333</v>
      </c>
      <c r="Q1280" s="12" t="s">
        <v>1785</v>
      </c>
      <c r="R1280" s="17" t="s">
        <v>5159</v>
      </c>
      <c r="S1280" s="13" t="s">
        <v>5160</v>
      </c>
      <c r="T1280" s="11"/>
      <c r="U1280" s="10" t="str">
        <f>HYPERLINK("https://pbs.twimg.com/profile_images/1046453083176357889/MYSD8bfp.jpg","View")</f>
        <v>View</v>
      </c>
    </row>
    <row r="1281" spans="1:21" ht="51">
      <c r="A1281" s="6">
        <v>43439.866296296299</v>
      </c>
      <c r="B1281" s="7" t="str">
        <f>HYPERLINK("https://twitter.com/CiudadanosCs","@CiudadanosCs")</f>
        <v>@CiudadanosCs</v>
      </c>
      <c r="C1281" s="8" t="s">
        <v>489</v>
      </c>
      <c r="D1281" s="9" t="s">
        <v>2972</v>
      </c>
      <c r="E1281" s="10" t="str">
        <f>HYPERLINK("https://twitter.com/CiudadanosCs/status/1070404306153734144","1070404306153734144")</f>
        <v>1070404306153734144</v>
      </c>
      <c r="F1281" s="11"/>
      <c r="G1281" s="13" t="s">
        <v>4379</v>
      </c>
      <c r="H1281" s="11"/>
      <c r="I1281" s="14">
        <v>45</v>
      </c>
      <c r="J1281" s="14">
        <v>80</v>
      </c>
      <c r="K1281" s="15" t="str">
        <f t="shared" si="267"/>
        <v>Twitter Web Client</v>
      </c>
      <c r="L1281" s="14">
        <v>490821</v>
      </c>
      <c r="M1281" s="14">
        <v>93557</v>
      </c>
      <c r="N1281" s="14">
        <v>3338</v>
      </c>
      <c r="O1281" s="19" t="s">
        <v>42</v>
      </c>
      <c r="P1281" s="6">
        <v>39828.753460648149</v>
      </c>
      <c r="Q1281" s="12" t="s">
        <v>137</v>
      </c>
      <c r="R1281" s="17" t="s">
        <v>492</v>
      </c>
      <c r="S1281" s="13" t="s">
        <v>493</v>
      </c>
      <c r="T1281" s="11"/>
      <c r="U1281" s="10" t="str">
        <f>HYPERLINK("https://pbs.twimg.com/profile_images/1053554096161075200/1z77_zBZ.jpg","View")</f>
        <v>View</v>
      </c>
    </row>
    <row r="1282" spans="1:21" ht="13.2">
      <c r="A1282" s="6">
        <v>43439.865902777776</v>
      </c>
      <c r="B1282" s="7" t="str">
        <f>HYPERLINK("https://twitter.com/XalocM","@XalocM")</f>
        <v>@XalocM</v>
      </c>
      <c r="C1282" s="8" t="s">
        <v>5166</v>
      </c>
      <c r="D1282" s="9" t="s">
        <v>5167</v>
      </c>
      <c r="E1282" s="10" t="str">
        <f>HYPERLINK("https://twitter.com/XalocM/status/1070404163249561601","1070404163249561601")</f>
        <v>1070404163249561601</v>
      </c>
      <c r="F1282" s="13" t="s">
        <v>5169</v>
      </c>
      <c r="G1282" s="11"/>
      <c r="H1282" s="11"/>
      <c r="I1282" s="14">
        <v>0</v>
      </c>
      <c r="J1282" s="14">
        <v>0</v>
      </c>
      <c r="K1282" s="15" t="str">
        <f t="shared" ref="K1282:K1284" si="268">HYPERLINK("http://twitter.com/download/android","Twitter for Android")</f>
        <v>Twitter for Android</v>
      </c>
      <c r="L1282" s="14">
        <v>140</v>
      </c>
      <c r="M1282" s="14">
        <v>564</v>
      </c>
      <c r="N1282" s="14">
        <v>0</v>
      </c>
      <c r="O1282" s="16"/>
      <c r="P1282" s="6">
        <v>41996.576805555553</v>
      </c>
      <c r="Q1282" s="11"/>
      <c r="R1282" s="18"/>
      <c r="S1282" s="11"/>
      <c r="T1282" s="11"/>
      <c r="U1282" s="10" t="str">
        <f>HYPERLINK("https://pbs.twimg.com/profile_images/1019641142625882112/ufz2DFrL.jpg","View")</f>
        <v>View</v>
      </c>
    </row>
    <row r="1283" spans="1:21" ht="40.799999999999997">
      <c r="A1283" s="6">
        <v>43439.864270833335</v>
      </c>
      <c r="B1283" s="7" t="str">
        <f>HYPERLINK("https://twitter.com/EscofetMerce","@EscofetMerce")</f>
        <v>@EscofetMerce</v>
      </c>
      <c r="C1283" s="8" t="s">
        <v>5172</v>
      </c>
      <c r="D1283" s="9" t="s">
        <v>5173</v>
      </c>
      <c r="E1283" s="10" t="str">
        <f>HYPERLINK("https://twitter.com/EscofetMerce/status/1070403573941460997","1070403573941460997")</f>
        <v>1070403573941460997</v>
      </c>
      <c r="F1283" s="11"/>
      <c r="G1283" s="13" t="s">
        <v>5174</v>
      </c>
      <c r="H1283" s="11"/>
      <c r="I1283" s="14">
        <v>8</v>
      </c>
      <c r="J1283" s="14">
        <v>19</v>
      </c>
      <c r="K1283" s="15" t="str">
        <f t="shared" si="268"/>
        <v>Twitter for Android</v>
      </c>
      <c r="L1283" s="14">
        <v>798</v>
      </c>
      <c r="M1283" s="14">
        <v>1444</v>
      </c>
      <c r="N1283" s="14">
        <v>3</v>
      </c>
      <c r="O1283" s="16"/>
      <c r="P1283" s="6">
        <v>42529.626516203702</v>
      </c>
      <c r="Q1283" s="12" t="s">
        <v>1785</v>
      </c>
      <c r="R1283" s="17" t="s">
        <v>5175</v>
      </c>
      <c r="S1283" s="13" t="s">
        <v>5176</v>
      </c>
      <c r="T1283" s="11"/>
      <c r="U1283" s="10" t="str">
        <f>HYPERLINK("https://pbs.twimg.com/profile_images/955526336667365377/4_KCKtvb.jpg","View")</f>
        <v>View</v>
      </c>
    </row>
    <row r="1284" spans="1:21" ht="71.400000000000006">
      <c r="A1284" s="6">
        <v>43439.863761574074</v>
      </c>
      <c r="B1284" s="7" t="str">
        <f>HYPERLINK("https://twitter.com/Otriadas","@Otriadas")</f>
        <v>@Otriadas</v>
      </c>
      <c r="C1284" s="8" t="s">
        <v>4380</v>
      </c>
      <c r="D1284" s="9" t="s">
        <v>4381</v>
      </c>
      <c r="E1284" s="10" t="str">
        <f>HYPERLINK("https://twitter.com/Otriadas/status/1070403387290779649","1070403387290779649")</f>
        <v>1070403387290779649</v>
      </c>
      <c r="F1284" s="12" t="s">
        <v>4382</v>
      </c>
      <c r="G1284" s="11"/>
      <c r="H1284" s="11"/>
      <c r="I1284" s="14">
        <v>10</v>
      </c>
      <c r="J1284" s="14">
        <v>9</v>
      </c>
      <c r="K1284" s="15" t="str">
        <f t="shared" si="268"/>
        <v>Twitter for Android</v>
      </c>
      <c r="L1284" s="14">
        <v>611</v>
      </c>
      <c r="M1284" s="14">
        <v>186</v>
      </c>
      <c r="N1284" s="14">
        <v>45</v>
      </c>
      <c r="O1284" s="16"/>
      <c r="P1284" s="6">
        <v>42811.335625</v>
      </c>
      <c r="Q1284" s="12" t="s">
        <v>4383</v>
      </c>
      <c r="R1284" s="17" t="s">
        <v>4384</v>
      </c>
      <c r="S1284" s="11"/>
      <c r="T1284" s="11"/>
      <c r="U1284" s="10" t="str">
        <f>HYPERLINK("https://pbs.twimg.com/profile_images/975392206465970178/xCpMnT7O.jpg","View")</f>
        <v>View</v>
      </c>
    </row>
    <row r="1285" spans="1:21" ht="20.399999999999999">
      <c r="A1285" s="6">
        <v>43439.863703703704</v>
      </c>
      <c r="B1285" s="7" t="str">
        <f>HYPERLINK("https://twitter.com/franmacos","@franmacos")</f>
        <v>@franmacos</v>
      </c>
      <c r="C1285" s="8" t="s">
        <v>5180</v>
      </c>
      <c r="D1285" s="9" t="s">
        <v>4269</v>
      </c>
      <c r="E1285" s="10" t="str">
        <f>HYPERLINK("https://twitter.com/franmacos/status/1070403365677481984","1070403365677481984")</f>
        <v>1070403365677481984</v>
      </c>
      <c r="F1285" s="13" t="s">
        <v>4270</v>
      </c>
      <c r="G1285" s="11"/>
      <c r="H1285" s="11"/>
      <c r="I1285" s="14">
        <v>0</v>
      </c>
      <c r="J1285" s="14">
        <v>0</v>
      </c>
      <c r="K1285" s="15" t="str">
        <f t="shared" ref="K1285:K1286" si="269">HYPERLINK("http://twitter.com","Twitter Web Client")</f>
        <v>Twitter Web Client</v>
      </c>
      <c r="L1285" s="14">
        <v>127</v>
      </c>
      <c r="M1285" s="14">
        <v>443</v>
      </c>
      <c r="N1285" s="14">
        <v>0</v>
      </c>
      <c r="O1285" s="16"/>
      <c r="P1285" s="6">
        <v>40918.903912037036</v>
      </c>
      <c r="Q1285" s="11"/>
      <c r="R1285" s="18"/>
      <c r="S1285" s="11"/>
      <c r="T1285" s="11"/>
      <c r="U1285" s="10" t="str">
        <f>HYPERLINK("https://pbs.twimg.com/profile_images/873804686641516544/S3YVxuUh.jpg","View")</f>
        <v>View</v>
      </c>
    </row>
    <row r="1286" spans="1:21" ht="91.8">
      <c r="A1286" s="6">
        <v>43439.861909722225</v>
      </c>
      <c r="B1286" s="7" t="str">
        <f>HYPERLINK("https://twitter.com/HugoRossCs","@HugoRossCs")</f>
        <v>@HugoRossCs</v>
      </c>
      <c r="C1286" s="8" t="s">
        <v>4385</v>
      </c>
      <c r="D1286" s="9" t="s">
        <v>4386</v>
      </c>
      <c r="E1286" s="10" t="str">
        <f>HYPERLINK("https://twitter.com/HugoRossCs/status/1070402718160904194","1070402718160904194")</f>
        <v>1070402718160904194</v>
      </c>
      <c r="F1286" s="13" t="s">
        <v>4387</v>
      </c>
      <c r="G1286" s="13" t="s">
        <v>4388</v>
      </c>
      <c r="H1286" s="11"/>
      <c r="I1286" s="14">
        <v>2</v>
      </c>
      <c r="J1286" s="14">
        <v>4</v>
      </c>
      <c r="K1286" s="15" t="str">
        <f t="shared" si="269"/>
        <v>Twitter Web Client</v>
      </c>
      <c r="L1286" s="14">
        <v>201</v>
      </c>
      <c r="M1286" s="14">
        <v>482</v>
      </c>
      <c r="N1286" s="14">
        <v>1</v>
      </c>
      <c r="O1286" s="16"/>
      <c r="P1286" s="6">
        <v>40329.854745370372</v>
      </c>
      <c r="Q1286" s="11"/>
      <c r="R1286" s="17" t="s">
        <v>4389</v>
      </c>
      <c r="S1286" s="11"/>
      <c r="T1286" s="11"/>
      <c r="U1286" s="10" t="str">
        <f>HYPERLINK("https://pbs.twimg.com/profile_images/1006213666377695232/sQzxc51S.jpg","View")</f>
        <v>View</v>
      </c>
    </row>
    <row r="1287" spans="1:21" ht="40.799999999999997">
      <c r="A1287" s="6">
        <v>43439.860578703709</v>
      </c>
      <c r="B1287" s="7" t="str">
        <f>HYPERLINK("https://twitter.com/Jordi_Obon","@Jordi_Obon")</f>
        <v>@Jordi_Obon</v>
      </c>
      <c r="C1287" s="8" t="s">
        <v>4390</v>
      </c>
      <c r="D1287" s="9" t="s">
        <v>4391</v>
      </c>
      <c r="E1287" s="10" t="str">
        <f>HYPERLINK("https://twitter.com/Jordi_Obon/status/1070402236000419840","1070402236000419840")</f>
        <v>1070402236000419840</v>
      </c>
      <c r="F1287" s="11"/>
      <c r="G1287" s="13" t="s">
        <v>4392</v>
      </c>
      <c r="H1287" s="11"/>
      <c r="I1287" s="14">
        <v>6</v>
      </c>
      <c r="J1287" s="14">
        <v>12</v>
      </c>
      <c r="K1287" s="15" t="str">
        <f>HYPERLINK("http://twitter.com/download/iphone","Twitter for iPhone")</f>
        <v>Twitter for iPhone</v>
      </c>
      <c r="L1287" s="14">
        <v>3878</v>
      </c>
      <c r="M1287" s="14">
        <v>3723</v>
      </c>
      <c r="N1287" s="14">
        <v>50</v>
      </c>
      <c r="O1287" s="16"/>
      <c r="P1287" s="6">
        <v>40816.421157407407</v>
      </c>
      <c r="Q1287" s="12" t="s">
        <v>4355</v>
      </c>
      <c r="R1287" s="17" t="s">
        <v>4393</v>
      </c>
      <c r="S1287" s="13" t="s">
        <v>4394</v>
      </c>
      <c r="T1287" s="11"/>
      <c r="U1287" s="10" t="str">
        <f>HYPERLINK("https://pbs.twimg.com/profile_images/1060918822612463616/cOOnVMzW.jpg","View")</f>
        <v>View</v>
      </c>
    </row>
    <row r="1288" spans="1:21" ht="30.6">
      <c r="A1288" s="6">
        <v>43439.860196759255</v>
      </c>
      <c r="B1288" s="7" t="str">
        <f>HYPERLINK("https://twitter.com/turminder_xuss","@turminder_xuss")</f>
        <v>@turminder_xuss</v>
      </c>
      <c r="C1288" s="8" t="s">
        <v>5191</v>
      </c>
      <c r="D1288" s="9" t="s">
        <v>5192</v>
      </c>
      <c r="E1288" s="10" t="str">
        <f>HYPERLINK("https://twitter.com/turminder_xuss/status/1070402094568521728","1070402094568521728")</f>
        <v>1070402094568521728</v>
      </c>
      <c r="F1288" s="11"/>
      <c r="G1288" s="11"/>
      <c r="H1288" s="11"/>
      <c r="I1288" s="14">
        <v>0</v>
      </c>
      <c r="J1288" s="14">
        <v>0</v>
      </c>
      <c r="K1288" s="15" t="str">
        <f>HYPERLINK("http://twitter.com","Twitter Web Client")</f>
        <v>Twitter Web Client</v>
      </c>
      <c r="L1288" s="14">
        <v>173</v>
      </c>
      <c r="M1288" s="14">
        <v>181</v>
      </c>
      <c r="N1288" s="14">
        <v>6</v>
      </c>
      <c r="O1288" s="16"/>
      <c r="P1288" s="6">
        <v>40771.52983796296</v>
      </c>
      <c r="Q1288" s="11"/>
      <c r="R1288" s="17" t="s">
        <v>5193</v>
      </c>
      <c r="S1288" s="11"/>
      <c r="T1288" s="11"/>
      <c r="U1288" s="10" t="str">
        <f>HYPERLINK("https://pbs.twimg.com/profile_images/1501779219/ARMI_O.jpg","View")</f>
        <v>View</v>
      </c>
    </row>
    <row r="1289" spans="1:21" ht="20.399999999999999">
      <c r="A1289" s="6">
        <v>43439.86</v>
      </c>
      <c r="B1289" s="7" t="str">
        <f>HYPERLINK("https://twitter.com/EPCatalunya","@EPCatalunya")</f>
        <v>@EPCatalunya</v>
      </c>
      <c r="C1289" s="8" t="s">
        <v>4398</v>
      </c>
      <c r="D1289" s="9" t="s">
        <v>4399</v>
      </c>
      <c r="E1289" s="10" t="str">
        <f>HYPERLINK("https://twitter.com/EPCatalunya/status/1070402023118512133","1070402023118512133")</f>
        <v>1070402023118512133</v>
      </c>
      <c r="F1289" s="13" t="s">
        <v>4401</v>
      </c>
      <c r="G1289" s="11"/>
      <c r="H1289" s="11"/>
      <c r="I1289" s="14">
        <v>1</v>
      </c>
      <c r="J1289" s="14">
        <v>1</v>
      </c>
      <c r="K1289" s="15" t="str">
        <f>HYPERLINK("http://www.europapress.es/catalunya/","Twitter editor Catalunya")</f>
        <v>Twitter editor Catalunya</v>
      </c>
      <c r="L1289" s="14">
        <v>19153</v>
      </c>
      <c r="M1289" s="14">
        <v>6881</v>
      </c>
      <c r="N1289" s="14">
        <v>556</v>
      </c>
      <c r="O1289" s="19" t="s">
        <v>42</v>
      </c>
      <c r="P1289" s="6">
        <v>40540.758206018516</v>
      </c>
      <c r="Q1289" s="12" t="s">
        <v>581</v>
      </c>
      <c r="R1289" s="17" t="s">
        <v>4402</v>
      </c>
      <c r="S1289" s="13" t="s">
        <v>4403</v>
      </c>
      <c r="T1289" s="11"/>
      <c r="U1289" s="10" t="str">
        <f>HYPERLINK("https://pbs.twimg.com/profile_images/877083212215922689/djRqG2eu.jpg","View")</f>
        <v>View</v>
      </c>
    </row>
    <row r="1290" spans="1:21" ht="30.6">
      <c r="A1290" s="6">
        <v>43439.859421296293</v>
      </c>
      <c r="B1290" s="7" t="str">
        <f>HYPERLINK("https://twitter.com/FcoMunozCs","@FcoMunozCs")</f>
        <v>@FcoMunozCs</v>
      </c>
      <c r="C1290" s="8" t="s">
        <v>4404</v>
      </c>
      <c r="D1290" s="9" t="s">
        <v>4405</v>
      </c>
      <c r="E1290" s="10" t="str">
        <f>HYPERLINK("https://twitter.com/FcoMunozCs/status/1070401814946856961","1070401814946856961")</f>
        <v>1070401814946856961</v>
      </c>
      <c r="F1290" s="11"/>
      <c r="G1290" s="13" t="s">
        <v>4406</v>
      </c>
      <c r="H1290" s="11"/>
      <c r="I1290" s="14">
        <v>4</v>
      </c>
      <c r="J1290" s="14">
        <v>16</v>
      </c>
      <c r="K1290" s="15" t="str">
        <f t="shared" ref="K1290:K1291" si="270">HYPERLINK("http://twitter.com/download/android","Twitter for Android")</f>
        <v>Twitter for Android</v>
      </c>
      <c r="L1290" s="14">
        <v>97</v>
      </c>
      <c r="M1290" s="14">
        <v>102</v>
      </c>
      <c r="N1290" s="14">
        <v>0</v>
      </c>
      <c r="O1290" s="16"/>
      <c r="P1290" s="6">
        <v>43356.732071759259</v>
      </c>
      <c r="Q1290" s="11"/>
      <c r="R1290" s="17" t="s">
        <v>4407</v>
      </c>
      <c r="S1290" s="11"/>
      <c r="T1290" s="11"/>
      <c r="U1290" s="10" t="str">
        <f>HYPERLINK("https://pbs.twimg.com/profile_images/1040265033127739392/Qb1pSrZe.jpg","View")</f>
        <v>View</v>
      </c>
    </row>
    <row r="1291" spans="1:21" ht="61.2">
      <c r="A1291" s="6">
        <v>43439.858946759261</v>
      </c>
      <c r="B1291" s="7" t="str">
        <f>HYPERLINK("https://twitter.com/cbenavidesp","@cbenavidesp")</f>
        <v>@cbenavidesp</v>
      </c>
      <c r="C1291" s="8" t="s">
        <v>4408</v>
      </c>
      <c r="D1291" s="9" t="s">
        <v>4409</v>
      </c>
      <c r="E1291" s="10" t="str">
        <f>HYPERLINK("https://twitter.com/cbenavidesp/status/1070401641642381314","1070401641642381314")</f>
        <v>1070401641642381314</v>
      </c>
      <c r="F1291" s="12" t="s">
        <v>4410</v>
      </c>
      <c r="G1291" s="11"/>
      <c r="H1291" s="11"/>
      <c r="I1291" s="14">
        <v>5</v>
      </c>
      <c r="J1291" s="14">
        <v>6</v>
      </c>
      <c r="K1291" s="15" t="str">
        <f t="shared" si="270"/>
        <v>Twitter for Android</v>
      </c>
      <c r="L1291" s="14">
        <v>2860</v>
      </c>
      <c r="M1291" s="14">
        <v>1676</v>
      </c>
      <c r="N1291" s="14">
        <v>101</v>
      </c>
      <c r="O1291" s="16"/>
      <c r="P1291" s="6">
        <v>40274.5237037037</v>
      </c>
      <c r="Q1291" s="12" t="s">
        <v>4411</v>
      </c>
      <c r="R1291" s="17" t="s">
        <v>4412</v>
      </c>
      <c r="S1291" s="13" t="s">
        <v>4413</v>
      </c>
      <c r="T1291" s="11"/>
      <c r="U1291" s="10" t="str">
        <f>HYPERLINK("https://pbs.twimg.com/profile_images/971705967913111552/9UoU_lSQ.jpg","View")</f>
        <v>View</v>
      </c>
    </row>
    <row r="1292" spans="1:21" ht="40.799999999999997">
      <c r="A1292" s="6">
        <v>43439.858576388884</v>
      </c>
      <c r="B1292" s="7" t="str">
        <f>HYPERLINK("https://twitter.com/martiabadf","@martiabadf")</f>
        <v>@martiabadf</v>
      </c>
      <c r="C1292" s="8" t="s">
        <v>5203</v>
      </c>
      <c r="D1292" s="9" t="s">
        <v>5204</v>
      </c>
      <c r="E1292" s="10" t="str">
        <f>HYPERLINK("https://twitter.com/martiabadf/status/1070401507227566080","1070401507227566080")</f>
        <v>1070401507227566080</v>
      </c>
      <c r="F1292" s="13" t="s">
        <v>4180</v>
      </c>
      <c r="G1292" s="11"/>
      <c r="H1292" s="11"/>
      <c r="I1292" s="14">
        <v>0</v>
      </c>
      <c r="J1292" s="14">
        <v>1</v>
      </c>
      <c r="K1292" s="15" t="str">
        <f>HYPERLINK("http://twitter.com","Twitter Web Client")</f>
        <v>Twitter Web Client</v>
      </c>
      <c r="L1292" s="14">
        <v>357</v>
      </c>
      <c r="M1292" s="14">
        <v>429</v>
      </c>
      <c r="N1292" s="14">
        <v>10</v>
      </c>
      <c r="O1292" s="16"/>
      <c r="P1292" s="6">
        <v>41456.658865740741</v>
      </c>
      <c r="Q1292" s="12" t="s">
        <v>5207</v>
      </c>
      <c r="R1292" s="17" t="s">
        <v>5208</v>
      </c>
      <c r="S1292" s="12" t="s">
        <v>5209</v>
      </c>
      <c r="T1292" s="11"/>
      <c r="U1292" s="10" t="str">
        <f>HYPERLINK("https://pbs.twimg.com/profile_images/1069207026612543488/awarrUl6.jpg","View")</f>
        <v>View</v>
      </c>
    </row>
    <row r="1293" spans="1:21" ht="40.799999999999997">
      <c r="A1293" s="6">
        <v>43439.857256944444</v>
      </c>
      <c r="B1293" s="7" t="str">
        <f>HYPERLINK("https://twitter.com/ManuelValls68","@ManuelValls68")</f>
        <v>@ManuelValls68</v>
      </c>
      <c r="C1293" s="8" t="s">
        <v>5210</v>
      </c>
      <c r="D1293" s="9" t="s">
        <v>5211</v>
      </c>
      <c r="E1293" s="10" t="str">
        <f>HYPERLINK("https://twitter.com/ManuelValls68/status/1070401031081742336","1070401031081742336")</f>
        <v>1070401031081742336</v>
      </c>
      <c r="F1293" s="11"/>
      <c r="G1293" s="13" t="s">
        <v>4432</v>
      </c>
      <c r="H1293" s="11"/>
      <c r="I1293" s="14">
        <v>0</v>
      </c>
      <c r="J1293" s="14">
        <v>1</v>
      </c>
      <c r="K1293" s="15" t="str">
        <f>HYPERLINK("https://ifttt.com","IFTTT")</f>
        <v>IFTTT</v>
      </c>
      <c r="L1293" s="14">
        <v>202</v>
      </c>
      <c r="M1293" s="14">
        <v>71</v>
      </c>
      <c r="N1293" s="14">
        <v>6</v>
      </c>
      <c r="O1293" s="16"/>
      <c r="P1293" s="6">
        <v>42727.433449074073</v>
      </c>
      <c r="Q1293" s="12" t="s">
        <v>5214</v>
      </c>
      <c r="R1293" s="17" t="s">
        <v>5215</v>
      </c>
      <c r="S1293" s="13" t="s">
        <v>5216</v>
      </c>
      <c r="T1293" s="11"/>
      <c r="U1293" s="10" t="str">
        <f>HYPERLINK("https://pbs.twimg.com/profile_images/812228693124907008/F5fUoG1b.jpg","View")</f>
        <v>View</v>
      </c>
    </row>
    <row r="1294" spans="1:21" ht="30.6">
      <c r="A1294" s="6">
        <v>43439.856319444443</v>
      </c>
      <c r="B1294" s="7" t="str">
        <f>HYPERLINK("https://twitter.com/EclipsetvMx","@EclipsetvMx")</f>
        <v>@EclipsetvMx</v>
      </c>
      <c r="C1294" s="8" t="s">
        <v>4416</v>
      </c>
      <c r="D1294" s="9" t="s">
        <v>4417</v>
      </c>
      <c r="E1294" s="10" t="str">
        <f>HYPERLINK("https://twitter.com/EclipsetvMx/status/1070400689245962243","1070400689245962243")</f>
        <v>1070400689245962243</v>
      </c>
      <c r="F1294" s="13" t="s">
        <v>4418</v>
      </c>
      <c r="G1294" s="13" t="s">
        <v>4419</v>
      </c>
      <c r="H1294" s="11"/>
      <c r="I1294" s="14">
        <v>0</v>
      </c>
      <c r="J1294" s="14">
        <v>0</v>
      </c>
      <c r="K1294" s="15" t="str">
        <f>HYPERLINK("http://twitter.com","Twitter Web Client")</f>
        <v>Twitter Web Client</v>
      </c>
      <c r="L1294" s="14">
        <v>9979</v>
      </c>
      <c r="M1294" s="14">
        <v>162</v>
      </c>
      <c r="N1294" s="14">
        <v>9</v>
      </c>
      <c r="O1294" s="16"/>
      <c r="P1294" s="6">
        <v>42080.377025462964</v>
      </c>
      <c r="Q1294" s="12" t="s">
        <v>4420</v>
      </c>
      <c r="R1294" s="17" t="s">
        <v>4421</v>
      </c>
      <c r="S1294" s="13" t="s">
        <v>4422</v>
      </c>
      <c r="T1294" s="11"/>
      <c r="U1294" s="10" t="str">
        <f>HYPERLINK("https://pbs.twimg.com/profile_images/934498999305949185/ZSs65t9b.jpg","View")</f>
        <v>View</v>
      </c>
    </row>
    <row r="1295" spans="1:21" ht="40.799999999999997">
      <c r="A1295" s="6">
        <v>43439.856030092589</v>
      </c>
      <c r="B1295" s="7" t="str">
        <f>HYPERLINK("https://twitter.com/AGHcunit","@AGHcunit")</f>
        <v>@AGHcunit</v>
      </c>
      <c r="C1295" s="8" t="s">
        <v>5219</v>
      </c>
      <c r="D1295" s="9" t="s">
        <v>1896</v>
      </c>
      <c r="E1295" s="10" t="str">
        <f>HYPERLINK("https://twitter.com/AGHcunit/status/1070400586997227529","1070400586997227529")</f>
        <v>1070400586997227529</v>
      </c>
      <c r="F1295" s="13" t="s">
        <v>1899</v>
      </c>
      <c r="G1295" s="11"/>
      <c r="H1295" s="11"/>
      <c r="I1295" s="14">
        <v>0</v>
      </c>
      <c r="J1295" s="14">
        <v>1</v>
      </c>
      <c r="K1295" s="15" t="str">
        <f>HYPERLINK("http://twitter.com/download/iphone","Twitter for iPhone")</f>
        <v>Twitter for iPhone</v>
      </c>
      <c r="L1295" s="14">
        <v>144</v>
      </c>
      <c r="M1295" s="14">
        <v>631</v>
      </c>
      <c r="N1295" s="14">
        <v>0</v>
      </c>
      <c r="O1295" s="16"/>
      <c r="P1295" s="6">
        <v>40783.083958333329</v>
      </c>
      <c r="Q1295" s="11"/>
      <c r="R1295" s="17" t="s">
        <v>5222</v>
      </c>
      <c r="S1295" s="11"/>
      <c r="T1295" s="11"/>
      <c r="U1295" s="10" t="str">
        <f>HYPERLINK("https://pbs.twimg.com/profile_images/1069539152495022080/aAx15BAp.jpg","View")</f>
        <v>View</v>
      </c>
    </row>
    <row r="1296" spans="1:21" ht="30.6">
      <c r="A1296" s="6">
        <v>43439.855972222227</v>
      </c>
      <c r="B1296" s="7" t="str">
        <f>HYPERLINK("https://twitter.com/AntonioGarciatv","@AntonioGarciatv")</f>
        <v>@AntonioGarciatv</v>
      </c>
      <c r="C1296" s="8" t="s">
        <v>4423</v>
      </c>
      <c r="D1296" s="9" t="s">
        <v>4417</v>
      </c>
      <c r="E1296" s="10" t="str">
        <f>HYPERLINK("https://twitter.com/AntonioGarciatv/status/1070400567049097216","1070400567049097216")</f>
        <v>1070400567049097216</v>
      </c>
      <c r="F1296" s="13" t="s">
        <v>4418</v>
      </c>
      <c r="G1296" s="13" t="s">
        <v>4424</v>
      </c>
      <c r="H1296" s="11"/>
      <c r="I1296" s="14">
        <v>0</v>
      </c>
      <c r="J1296" s="14">
        <v>0</v>
      </c>
      <c r="K1296" s="15" t="str">
        <f>HYPERLINK("http://twitter.com","Twitter Web Client")</f>
        <v>Twitter Web Client</v>
      </c>
      <c r="L1296" s="14">
        <v>4893</v>
      </c>
      <c r="M1296" s="14">
        <v>800</v>
      </c>
      <c r="N1296" s="14">
        <v>29</v>
      </c>
      <c r="O1296" s="16"/>
      <c r="P1296" s="6">
        <v>40750.993923611109</v>
      </c>
      <c r="Q1296" s="12" t="s">
        <v>4425</v>
      </c>
      <c r="R1296" s="17" t="s">
        <v>4426</v>
      </c>
      <c r="S1296" s="13" t="s">
        <v>4427</v>
      </c>
      <c r="T1296" s="11"/>
      <c r="U1296" s="10" t="str">
        <f>HYPERLINK("https://pbs.twimg.com/profile_images/1067200589023625217/WXHz84YN.jpg","View")</f>
        <v>View</v>
      </c>
    </row>
    <row r="1297" spans="1:21" ht="51">
      <c r="A1297" s="6">
        <v>43439.855798611112</v>
      </c>
      <c r="B1297" s="7" t="str">
        <f>HYPERLINK("https://twitter.com/fdiaz_p","@fdiaz_p")</f>
        <v>@fdiaz_p</v>
      </c>
      <c r="C1297" s="8" t="s">
        <v>1340</v>
      </c>
      <c r="D1297" s="9" t="s">
        <v>4428</v>
      </c>
      <c r="E1297" s="10" t="str">
        <f>HYPERLINK("https://twitter.com/fdiaz_p/status/1070400500699422721","1070400500699422721")</f>
        <v>1070400500699422721</v>
      </c>
      <c r="F1297" s="12" t="s">
        <v>4429</v>
      </c>
      <c r="G1297" s="11"/>
      <c r="H1297" s="11"/>
      <c r="I1297" s="14">
        <v>0</v>
      </c>
      <c r="J1297" s="14">
        <v>0</v>
      </c>
      <c r="K1297" s="15" t="str">
        <f>HYPERLINK("http://twitter.com/download/iphone","Twitter for iPhone")</f>
        <v>Twitter for iPhone</v>
      </c>
      <c r="L1297" s="14">
        <v>1025</v>
      </c>
      <c r="M1297" s="14">
        <v>1125</v>
      </c>
      <c r="N1297" s="14">
        <v>20</v>
      </c>
      <c r="O1297" s="16"/>
      <c r="P1297" s="6">
        <v>40922.892210648148</v>
      </c>
      <c r="Q1297" s="12" t="s">
        <v>1341</v>
      </c>
      <c r="R1297" s="17" t="s">
        <v>1342</v>
      </c>
      <c r="S1297" s="13" t="s">
        <v>1343</v>
      </c>
      <c r="T1297" s="11"/>
      <c r="U1297" s="10" t="str">
        <f>HYPERLINK("https://pbs.twimg.com/profile_images/1004080179650625537/GPWzjyZ_.jpg","View")</f>
        <v>View</v>
      </c>
    </row>
    <row r="1298" spans="1:21" ht="51">
      <c r="A1298" s="6">
        <v>43439.855520833335</v>
      </c>
      <c r="B1298" s="7" t="str">
        <f>HYPERLINK("https://twitter.com/JoseIgnc","@JoseIgnc")</f>
        <v>@JoseIgnc</v>
      </c>
      <c r="C1298" s="8" t="s">
        <v>5232</v>
      </c>
      <c r="D1298" s="9" t="s">
        <v>5233</v>
      </c>
      <c r="E1298" s="10" t="str">
        <f>HYPERLINK("https://twitter.com/JoseIgnc/status/1070400400002613248","1070400400002613248")</f>
        <v>1070400400002613248</v>
      </c>
      <c r="F1298" s="11"/>
      <c r="G1298" s="11"/>
      <c r="H1298" s="11"/>
      <c r="I1298" s="14">
        <v>0</v>
      </c>
      <c r="J1298" s="14">
        <v>0</v>
      </c>
      <c r="K1298" s="15" t="str">
        <f>HYPERLINK("https://mobile.twitter.com","Mobile Web (M2)")</f>
        <v>Mobile Web (M2)</v>
      </c>
      <c r="L1298" s="14">
        <v>0</v>
      </c>
      <c r="M1298" s="14">
        <v>1</v>
      </c>
      <c r="N1298" s="14">
        <v>0</v>
      </c>
      <c r="O1298" s="16"/>
      <c r="P1298" s="6">
        <v>42461.76180555555</v>
      </c>
      <c r="Q1298" s="11"/>
      <c r="R1298" s="18"/>
      <c r="S1298" s="11"/>
      <c r="T1298" s="11"/>
      <c r="U1298" s="19" t="s">
        <v>629</v>
      </c>
    </row>
    <row r="1299" spans="1:21" ht="40.799999999999997">
      <c r="A1299" s="6">
        <v>43439.853518518517</v>
      </c>
      <c r="B1299" s="7" t="str">
        <f>HYPERLINK("https://twitter.com/manuelvalls","@manuelvalls")</f>
        <v>@manuelvalls</v>
      </c>
      <c r="C1299" s="8" t="s">
        <v>4430</v>
      </c>
      <c r="D1299" s="9" t="s">
        <v>4431</v>
      </c>
      <c r="E1299" s="10" t="str">
        <f>HYPERLINK("https://twitter.com/manuelvalls/status/1070399675071717377","1070399675071717377")</f>
        <v>1070399675071717377</v>
      </c>
      <c r="F1299" s="11"/>
      <c r="G1299" s="13" t="s">
        <v>4432</v>
      </c>
      <c r="H1299" s="11"/>
      <c r="I1299" s="14">
        <v>128</v>
      </c>
      <c r="J1299" s="14">
        <v>363</v>
      </c>
      <c r="K1299" s="15" t="str">
        <f>HYPERLINK("http://twitter.com","Twitter Web Client")</f>
        <v>Twitter Web Client</v>
      </c>
      <c r="L1299" s="14">
        <v>1051187</v>
      </c>
      <c r="M1299" s="14">
        <v>2594</v>
      </c>
      <c r="N1299" s="14">
        <v>4207</v>
      </c>
      <c r="O1299" s="19" t="s">
        <v>42</v>
      </c>
      <c r="P1299" s="6">
        <v>40056.621122685188</v>
      </c>
      <c r="Q1299" s="12" t="s">
        <v>1785</v>
      </c>
      <c r="R1299" s="17" t="s">
        <v>4433</v>
      </c>
      <c r="S1299" s="11"/>
      <c r="T1299" s="11"/>
      <c r="U1299" s="10" t="str">
        <f>HYPERLINK("https://pbs.twimg.com/profile_images/1044619649445449728/UpoxtOvE.jpg","View")</f>
        <v>View</v>
      </c>
    </row>
    <row r="1300" spans="1:21" ht="51">
      <c r="A1300" s="6">
        <v>43439.853043981479</v>
      </c>
      <c r="B1300" s="7" t="str">
        <f>HYPERLINK("https://twitter.com/Vazzzquez_12","@Vazzzquez_12")</f>
        <v>@Vazzzquez_12</v>
      </c>
      <c r="C1300" s="8" t="s">
        <v>5238</v>
      </c>
      <c r="D1300" s="9" t="s">
        <v>5239</v>
      </c>
      <c r="E1300" s="10" t="str">
        <f>HYPERLINK("https://twitter.com/Vazzzquez_12/status/1070399504107614208","1070399504107614208")</f>
        <v>1070399504107614208</v>
      </c>
      <c r="F1300" s="12" t="s">
        <v>5240</v>
      </c>
      <c r="G1300" s="11"/>
      <c r="H1300" s="11"/>
      <c r="I1300" s="14">
        <v>0</v>
      </c>
      <c r="J1300" s="14">
        <v>0</v>
      </c>
      <c r="K1300" s="15" t="str">
        <f t="shared" ref="K1300:K1301" si="271">HYPERLINK("http://twitter.com/download/android","Twitter for Android")</f>
        <v>Twitter for Android</v>
      </c>
      <c r="L1300" s="14">
        <v>545</v>
      </c>
      <c r="M1300" s="14">
        <v>519</v>
      </c>
      <c r="N1300" s="14">
        <v>13</v>
      </c>
      <c r="O1300" s="16"/>
      <c r="P1300" s="6">
        <v>40661.661145833335</v>
      </c>
      <c r="Q1300" s="11"/>
      <c r="R1300" s="17" t="s">
        <v>5243</v>
      </c>
      <c r="S1300" s="11"/>
      <c r="T1300" s="11"/>
      <c r="U1300" s="10" t="str">
        <f>HYPERLINK("https://pbs.twimg.com/profile_images/863147785557880832/3MbCQkUG.jpg","View")</f>
        <v>View</v>
      </c>
    </row>
    <row r="1301" spans="1:21" ht="91.8">
      <c r="A1301" s="6">
        <v>43439.85291666667</v>
      </c>
      <c r="B1301" s="7" t="str">
        <f>HYPERLINK("https://twitter.com/dakturdave","@dakturdave")</f>
        <v>@dakturdave</v>
      </c>
      <c r="C1301" s="8" t="s">
        <v>2283</v>
      </c>
      <c r="D1301" s="9" t="s">
        <v>4434</v>
      </c>
      <c r="E1301" s="10" t="str">
        <f>HYPERLINK("https://twitter.com/dakturdave/status/1070399455982247937","1070399455982247937")</f>
        <v>1070399455982247937</v>
      </c>
      <c r="F1301" s="13" t="s">
        <v>4435</v>
      </c>
      <c r="G1301" s="13" t="s">
        <v>4436</v>
      </c>
      <c r="H1301" s="11"/>
      <c r="I1301" s="14">
        <v>0</v>
      </c>
      <c r="J1301" s="14">
        <v>0</v>
      </c>
      <c r="K1301" s="15" t="str">
        <f t="shared" si="271"/>
        <v>Twitter for Android</v>
      </c>
      <c r="L1301" s="14">
        <v>259</v>
      </c>
      <c r="M1301" s="14">
        <v>467</v>
      </c>
      <c r="N1301" s="14">
        <v>6</v>
      </c>
      <c r="O1301" s="16"/>
      <c r="P1301" s="6">
        <v>40565.781990740739</v>
      </c>
      <c r="Q1301" s="11"/>
      <c r="R1301" s="17" t="s">
        <v>2286</v>
      </c>
      <c r="S1301" s="11"/>
      <c r="T1301" s="11"/>
      <c r="U1301" s="10" t="str">
        <f>HYPERLINK("https://pbs.twimg.com/profile_images/378800000610983136/e9c73b7ebd58ab95dcbf8f55c2b7980a.jpeg","View")</f>
        <v>View</v>
      </c>
    </row>
    <row r="1302" spans="1:21" ht="30.6">
      <c r="A1302" s="6">
        <v>43439.852754629625</v>
      </c>
      <c r="B1302" s="7" t="str">
        <f>HYPERLINK("https://twitter.com/Carmelo_Asensio","@Carmelo_Asensio")</f>
        <v>@Carmelo_Asensio</v>
      </c>
      <c r="C1302" s="8" t="s">
        <v>5245</v>
      </c>
      <c r="D1302" s="9" t="s">
        <v>5246</v>
      </c>
      <c r="E1302" s="10" t="str">
        <f>HYPERLINK("https://twitter.com/Carmelo_Asensio/status/1070399400927748096","1070399400927748096")</f>
        <v>1070399400927748096</v>
      </c>
      <c r="F1302" s="11"/>
      <c r="G1302" s="11"/>
      <c r="H1302" s="11"/>
      <c r="I1302" s="14">
        <v>2</v>
      </c>
      <c r="J1302" s="14">
        <v>2</v>
      </c>
      <c r="K1302" s="15" t="str">
        <f>HYPERLINK("http://twitter.com","Twitter Web Client")</f>
        <v>Twitter Web Client</v>
      </c>
      <c r="L1302" s="14">
        <v>1555</v>
      </c>
      <c r="M1302" s="14">
        <v>229</v>
      </c>
      <c r="N1302" s="14">
        <v>42</v>
      </c>
      <c r="O1302" s="16"/>
      <c r="P1302" s="6">
        <v>41278.5784375</v>
      </c>
      <c r="Q1302" s="11"/>
      <c r="R1302" s="17" t="s">
        <v>5249</v>
      </c>
      <c r="S1302" s="13" t="s">
        <v>5250</v>
      </c>
      <c r="T1302" s="11"/>
      <c r="U1302" s="10" t="str">
        <f>HYPERLINK("https://pbs.twimg.com/profile_images/469232278523379712/ZDJu8BD2.jpeg","View")</f>
        <v>View</v>
      </c>
    </row>
    <row r="1303" spans="1:21" ht="40.799999999999997">
      <c r="A1303" s="6">
        <v>43439.851944444439</v>
      </c>
      <c r="B1303" s="7" t="str">
        <f>HYPERLINK("https://twitter.com/Exojo","@Exojo")</f>
        <v>@Exojo</v>
      </c>
      <c r="C1303" s="8" t="s">
        <v>4439</v>
      </c>
      <c r="D1303" s="9" t="s">
        <v>4440</v>
      </c>
      <c r="E1303" s="10" t="str">
        <f>HYPERLINK("https://twitter.com/Exojo/status/1070399107645231106","1070399107645231106")</f>
        <v>1070399107645231106</v>
      </c>
      <c r="F1303" s="11"/>
      <c r="G1303" s="11"/>
      <c r="H1303" s="11"/>
      <c r="I1303" s="14">
        <v>0</v>
      </c>
      <c r="J1303" s="14">
        <v>0</v>
      </c>
      <c r="K1303" s="15" t="str">
        <f>HYPERLINK("http://twitter.com/download/iphone","Twitter for iPhone")</f>
        <v>Twitter for iPhone</v>
      </c>
      <c r="L1303" s="14">
        <v>4720</v>
      </c>
      <c r="M1303" s="14">
        <v>409</v>
      </c>
      <c r="N1303" s="14">
        <v>64</v>
      </c>
      <c r="O1303" s="16"/>
      <c r="P1303" s="6">
        <v>40403.796909722223</v>
      </c>
      <c r="Q1303" s="12" t="s">
        <v>137</v>
      </c>
      <c r="R1303" s="17" t="s">
        <v>4441</v>
      </c>
      <c r="S1303" s="13" t="s">
        <v>4443</v>
      </c>
      <c r="T1303" s="11"/>
      <c r="U1303" s="10" t="str">
        <f>HYPERLINK("https://pbs.twimg.com/profile_images/1046020348444127232/eV_FmAjp.jpg","View")</f>
        <v>View</v>
      </c>
    </row>
    <row r="1304" spans="1:21" ht="40.799999999999997">
      <c r="A1304" s="6">
        <v>43439.85155092593</v>
      </c>
      <c r="B1304" s="7" t="str">
        <f>HYPERLINK("https://twitter.com/NoticiasVenezue","@NoticiasVenezue")</f>
        <v>@NoticiasVenezue</v>
      </c>
      <c r="C1304" s="8" t="s">
        <v>4494</v>
      </c>
      <c r="D1304" s="9" t="s">
        <v>4495</v>
      </c>
      <c r="E1304" s="10" t="str">
        <f>HYPERLINK("https://twitter.com/NoticiasVenezue/status/1070398963889696769","1070398963889696769")</f>
        <v>1070398963889696769</v>
      </c>
      <c r="F1304" s="13" t="s">
        <v>5257</v>
      </c>
      <c r="G1304" s="11"/>
      <c r="H1304" s="11"/>
      <c r="I1304" s="14">
        <v>0</v>
      </c>
      <c r="J1304" s="14">
        <v>1</v>
      </c>
      <c r="K1304" s="15" t="str">
        <f>HYPERLINK("http://publicize.wp.com/","WordPress.com")</f>
        <v>WordPress.com</v>
      </c>
      <c r="L1304" s="14">
        <v>849965</v>
      </c>
      <c r="M1304" s="14">
        <v>107845</v>
      </c>
      <c r="N1304" s="14">
        <v>4005</v>
      </c>
      <c r="O1304" s="19" t="s">
        <v>42</v>
      </c>
      <c r="P1304" s="6">
        <v>39960.368576388893</v>
      </c>
      <c r="Q1304" s="12" t="s">
        <v>4498</v>
      </c>
      <c r="R1304" s="17" t="s">
        <v>4499</v>
      </c>
      <c r="S1304" s="13" t="s">
        <v>4500</v>
      </c>
      <c r="T1304" s="11"/>
      <c r="U1304" s="10" t="str">
        <f>HYPERLINK("https://pbs.twimg.com/profile_images/1051102549061849088/xDOWgbtI.jpg","View")</f>
        <v>View</v>
      </c>
    </row>
    <row r="1305" spans="1:21" ht="40.799999999999997">
      <c r="A1305" s="6">
        <v>43439.850937499999</v>
      </c>
      <c r="B1305" s="7" t="str">
        <f>HYPERLINK("https://twitter.com/Ismaelescuincs","@Ismaelescuincs")</f>
        <v>@Ismaelescuincs</v>
      </c>
      <c r="C1305" s="8" t="s">
        <v>937</v>
      </c>
      <c r="D1305" s="9" t="s">
        <v>4446</v>
      </c>
      <c r="E1305" s="10" t="str">
        <f>HYPERLINK("https://twitter.com/Ismaelescuincs/status/1070398740241022982","1070398740241022982")</f>
        <v>1070398740241022982</v>
      </c>
      <c r="F1305" s="11"/>
      <c r="G1305" s="13" t="s">
        <v>4448</v>
      </c>
      <c r="H1305" s="11"/>
      <c r="I1305" s="14">
        <v>10</v>
      </c>
      <c r="J1305" s="14">
        <v>12</v>
      </c>
      <c r="K1305" s="15" t="str">
        <f t="shared" ref="K1305:K1306" si="272">HYPERLINK("http://twitter.com/download/iphone","Twitter for iPhone")</f>
        <v>Twitter for iPhone</v>
      </c>
      <c r="L1305" s="14">
        <v>1138</v>
      </c>
      <c r="M1305" s="14">
        <v>1215</v>
      </c>
      <c r="N1305" s="14">
        <v>1</v>
      </c>
      <c r="O1305" s="16"/>
      <c r="P1305" s="6">
        <v>43085.040821759263</v>
      </c>
      <c r="Q1305" s="12" t="s">
        <v>946</v>
      </c>
      <c r="R1305" s="17" t="s">
        <v>948</v>
      </c>
      <c r="S1305" s="13" t="s">
        <v>950</v>
      </c>
      <c r="T1305" s="11"/>
      <c r="U1305" s="10" t="str">
        <f>HYPERLINK("https://pbs.twimg.com/profile_images/1041730517530492928/JLvy_OFv.jpg","View")</f>
        <v>View</v>
      </c>
    </row>
    <row r="1306" spans="1:21" ht="40.799999999999997">
      <c r="A1306" s="6">
        <v>43439.85020833333</v>
      </c>
      <c r="B1306" s="7" t="str">
        <f>HYPERLINK("https://twitter.com/Exojo","@Exojo")</f>
        <v>@Exojo</v>
      </c>
      <c r="C1306" s="8" t="s">
        <v>4439</v>
      </c>
      <c r="D1306" s="9" t="s">
        <v>4449</v>
      </c>
      <c r="E1306" s="10" t="str">
        <f>HYPERLINK("https://twitter.com/Exojo/status/1070398475345543174","1070398475345543174")</f>
        <v>1070398475345543174</v>
      </c>
      <c r="F1306" s="11"/>
      <c r="G1306" s="11"/>
      <c r="H1306" s="11"/>
      <c r="I1306" s="14">
        <v>0</v>
      </c>
      <c r="J1306" s="14">
        <v>1</v>
      </c>
      <c r="K1306" s="15" t="str">
        <f t="shared" si="272"/>
        <v>Twitter for iPhone</v>
      </c>
      <c r="L1306" s="14">
        <v>4720</v>
      </c>
      <c r="M1306" s="14">
        <v>409</v>
      </c>
      <c r="N1306" s="14">
        <v>64</v>
      </c>
      <c r="O1306" s="16"/>
      <c r="P1306" s="6">
        <v>40403.796909722223</v>
      </c>
      <c r="Q1306" s="12" t="s">
        <v>137</v>
      </c>
      <c r="R1306" s="17" t="s">
        <v>4441</v>
      </c>
      <c r="S1306" s="13" t="s">
        <v>4443</v>
      </c>
      <c r="T1306" s="11"/>
      <c r="U1306" s="10" t="str">
        <f>HYPERLINK("https://pbs.twimg.com/profile_images/1046020348444127232/eV_FmAjp.jpg","View")</f>
        <v>View</v>
      </c>
    </row>
    <row r="1307" spans="1:21" ht="51">
      <c r="A1307" s="6">
        <v>43439.84988425926</v>
      </c>
      <c r="B1307" s="7" t="str">
        <f>HYPERLINK("https://twitter.com/CiudadanosCs","@CiudadanosCs")</f>
        <v>@CiudadanosCs</v>
      </c>
      <c r="C1307" s="8" t="s">
        <v>489</v>
      </c>
      <c r="D1307" s="9" t="s">
        <v>2133</v>
      </c>
      <c r="E1307" s="10" t="str">
        <f>HYPERLINK("https://twitter.com/CiudadanosCs/status/1070398357179383810","1070398357179383810")</f>
        <v>1070398357179383810</v>
      </c>
      <c r="F1307" s="11"/>
      <c r="G1307" s="13" t="s">
        <v>4451</v>
      </c>
      <c r="H1307" s="11"/>
      <c r="I1307" s="14">
        <v>72</v>
      </c>
      <c r="J1307" s="14">
        <v>113</v>
      </c>
      <c r="K1307" s="15" t="str">
        <f>HYPERLINK("http://twitter.com","Twitter Web Client")</f>
        <v>Twitter Web Client</v>
      </c>
      <c r="L1307" s="14">
        <v>490821</v>
      </c>
      <c r="M1307" s="14">
        <v>93557</v>
      </c>
      <c r="N1307" s="14">
        <v>3338</v>
      </c>
      <c r="O1307" s="19" t="s">
        <v>42</v>
      </c>
      <c r="P1307" s="6">
        <v>39828.753460648149</v>
      </c>
      <c r="Q1307" s="12" t="s">
        <v>137</v>
      </c>
      <c r="R1307" s="17" t="s">
        <v>492</v>
      </c>
      <c r="S1307" s="13" t="s">
        <v>493</v>
      </c>
      <c r="T1307" s="11"/>
      <c r="U1307" s="10" t="str">
        <f>HYPERLINK("https://pbs.twimg.com/profile_images/1053554096161075200/1z77_zBZ.jpg","View")</f>
        <v>View</v>
      </c>
    </row>
    <row r="1308" spans="1:21" ht="40.799999999999997">
      <c r="A1308" s="6">
        <v>43439.849652777775</v>
      </c>
      <c r="B1308" s="7" t="str">
        <f>HYPERLINK("https://twitter.com/druizdelarbol","@druizdelarbol")</f>
        <v>@druizdelarbol</v>
      </c>
      <c r="C1308" s="8" t="s">
        <v>4452</v>
      </c>
      <c r="D1308" s="9" t="s">
        <v>4453</v>
      </c>
      <c r="E1308" s="10" t="str">
        <f>HYPERLINK("https://twitter.com/druizdelarbol/status/1070398277051396101","1070398277051396101")</f>
        <v>1070398277051396101</v>
      </c>
      <c r="F1308" s="11"/>
      <c r="G1308" s="13" t="s">
        <v>4454</v>
      </c>
      <c r="H1308" s="11"/>
      <c r="I1308" s="14">
        <v>0</v>
      </c>
      <c r="J1308" s="14">
        <v>2</v>
      </c>
      <c r="K1308" s="15" t="str">
        <f>HYPERLINK("http://twitter.com/download/android","Twitter for Android")</f>
        <v>Twitter for Android</v>
      </c>
      <c r="L1308" s="14">
        <v>715</v>
      </c>
      <c r="M1308" s="14">
        <v>507</v>
      </c>
      <c r="N1308" s="14">
        <v>20</v>
      </c>
      <c r="O1308" s="16"/>
      <c r="P1308" s="6">
        <v>40162.804259259261</v>
      </c>
      <c r="Q1308" s="12" t="s">
        <v>29</v>
      </c>
      <c r="R1308" s="17" t="s">
        <v>4455</v>
      </c>
      <c r="S1308" s="13" t="s">
        <v>4456</v>
      </c>
      <c r="T1308" s="11"/>
      <c r="U1308" s="10" t="str">
        <f>HYPERLINK("https://pbs.twimg.com/profile_images/1973155746/drdelarbol-twitter-perfil.jpg","View")</f>
        <v>View</v>
      </c>
    </row>
    <row r="1309" spans="1:21" ht="40.799999999999997">
      <c r="A1309" s="6">
        <v>43439.849525462967</v>
      </c>
      <c r="B1309" s="7" t="str">
        <f>HYPERLINK("https://twitter.com/Sanfermin00","@Sanfermin00")</f>
        <v>@Sanfermin00</v>
      </c>
      <c r="C1309" s="8" t="s">
        <v>2763</v>
      </c>
      <c r="D1309" s="9" t="s">
        <v>5265</v>
      </c>
      <c r="E1309" s="10" t="str">
        <f>HYPERLINK("https://twitter.com/Sanfermin00/status/1070398227239919618","1070398227239919618")</f>
        <v>1070398227239919618</v>
      </c>
      <c r="F1309" s="13" t="s">
        <v>5266</v>
      </c>
      <c r="G1309" s="11"/>
      <c r="H1309" s="11"/>
      <c r="I1309" s="14">
        <v>2</v>
      </c>
      <c r="J1309" s="14">
        <v>3</v>
      </c>
      <c r="K1309" s="15" t="str">
        <f>HYPERLINK("http://twitter.com","Twitter Web Client")</f>
        <v>Twitter Web Client</v>
      </c>
      <c r="L1309" s="14">
        <v>16528</v>
      </c>
      <c r="M1309" s="14">
        <v>13714</v>
      </c>
      <c r="N1309" s="14">
        <v>122</v>
      </c>
      <c r="O1309" s="16"/>
      <c r="P1309" s="6">
        <v>42362.637083333335</v>
      </c>
      <c r="Q1309" s="12" t="s">
        <v>2767</v>
      </c>
      <c r="R1309" s="17" t="s">
        <v>2768</v>
      </c>
      <c r="S1309" s="13" t="s">
        <v>2769</v>
      </c>
      <c r="T1309" s="11"/>
      <c r="U1309" s="10" t="str">
        <f>HYPERLINK("https://pbs.twimg.com/profile_images/1064102923624480768/j11dV2-u.jpg","View")</f>
        <v>View</v>
      </c>
    </row>
    <row r="1310" spans="1:21" ht="102">
      <c r="A1310" s="6">
        <v>43439.848425925928</v>
      </c>
      <c r="B1310" s="7" t="str">
        <f>HYPERLINK("https://twitter.com/jclechin","@jclechin")</f>
        <v>@jclechin</v>
      </c>
      <c r="C1310" s="8" t="s">
        <v>4457</v>
      </c>
      <c r="D1310" s="9" t="s">
        <v>4458</v>
      </c>
      <c r="E1310" s="10" t="str">
        <f>HYPERLINK("https://twitter.com/jclechin/status/1070397830689406976","1070397830689406976")</f>
        <v>1070397830689406976</v>
      </c>
      <c r="F1310" s="13" t="s">
        <v>1853</v>
      </c>
      <c r="G1310" s="13" t="s">
        <v>1835</v>
      </c>
      <c r="H1310" s="11"/>
      <c r="I1310" s="14">
        <v>0</v>
      </c>
      <c r="J1310" s="14">
        <v>0</v>
      </c>
      <c r="K1310" s="15" t="str">
        <f>HYPERLINK("http://twitter.com/download/iphone","Twitter for iPhone")</f>
        <v>Twitter for iPhone</v>
      </c>
      <c r="L1310" s="14">
        <v>1705</v>
      </c>
      <c r="M1310" s="14">
        <v>119</v>
      </c>
      <c r="N1310" s="14">
        <v>20</v>
      </c>
      <c r="O1310" s="16"/>
      <c r="P1310" s="6">
        <v>40337.095150462963</v>
      </c>
      <c r="Q1310" s="11"/>
      <c r="R1310" s="17" t="s">
        <v>4459</v>
      </c>
      <c r="S1310" s="13" t="s">
        <v>4460</v>
      </c>
      <c r="T1310" s="11"/>
      <c r="U1310" s="10" t="str">
        <f>HYPERLINK("https://pbs.twimg.com/profile_images/1105225427/JC_4-Claudio_Carrizo.jpg","View")</f>
        <v>View</v>
      </c>
    </row>
    <row r="1311" spans="1:21" ht="40.799999999999997">
      <c r="A1311" s="6">
        <v>43439.848171296297</v>
      </c>
      <c r="B1311" s="7" t="str">
        <f>HYPERLINK("https://twitter.com/TheObjective_es","@TheObjective_es")</f>
        <v>@TheObjective_es</v>
      </c>
      <c r="C1311" s="8" t="s">
        <v>5271</v>
      </c>
      <c r="D1311" s="9" t="s">
        <v>5273</v>
      </c>
      <c r="E1311" s="10" t="str">
        <f>HYPERLINK("https://twitter.com/TheObjective_es/status/1070397738360160256","1070397738360160256")</f>
        <v>1070397738360160256</v>
      </c>
      <c r="F1311" s="13" t="s">
        <v>5274</v>
      </c>
      <c r="G1311" s="13" t="s">
        <v>5275</v>
      </c>
      <c r="H1311" s="11"/>
      <c r="I1311" s="14">
        <v>0</v>
      </c>
      <c r="J1311" s="14">
        <v>0</v>
      </c>
      <c r="K1311" s="15" t="str">
        <f>HYPERLINK("https://buffer.com","Buffer")</f>
        <v>Buffer</v>
      </c>
      <c r="L1311" s="14">
        <v>50879</v>
      </c>
      <c r="M1311" s="14">
        <v>704</v>
      </c>
      <c r="N1311" s="14">
        <v>1225</v>
      </c>
      <c r="O1311" s="16"/>
      <c r="P1311" s="6">
        <v>41473.393935185188</v>
      </c>
      <c r="Q1311" s="12" t="s">
        <v>181</v>
      </c>
      <c r="R1311" s="17" t="s">
        <v>5277</v>
      </c>
      <c r="S1311" s="13" t="s">
        <v>5278</v>
      </c>
      <c r="T1311" s="11"/>
      <c r="U1311" s="10" t="str">
        <f>HYPERLINK("https://pbs.twimg.com/profile_images/996760534082117632/umqvtWL2.jpg","View")</f>
        <v>View</v>
      </c>
    </row>
    <row r="1312" spans="1:21" ht="40.799999999999997">
      <c r="A1312" s="6">
        <v>43439.847395833334</v>
      </c>
      <c r="B1312" s="7" t="str">
        <f>HYPERLINK("https://twitter.com/CsRegionMurcia","@CsRegionMurcia")</f>
        <v>@CsRegionMurcia</v>
      </c>
      <c r="C1312" s="8" t="s">
        <v>817</v>
      </c>
      <c r="D1312" s="9" t="s">
        <v>4461</v>
      </c>
      <c r="E1312" s="10" t="str">
        <f>HYPERLINK("https://twitter.com/CsRegionMurcia/status/1070397458394595328","1070397458394595328")</f>
        <v>1070397458394595328</v>
      </c>
      <c r="F1312" s="11"/>
      <c r="G1312" s="13" t="s">
        <v>4462</v>
      </c>
      <c r="H1312" s="11"/>
      <c r="I1312" s="14">
        <v>13</v>
      </c>
      <c r="J1312" s="14">
        <v>17</v>
      </c>
      <c r="K1312" s="15" t="str">
        <f>HYPERLINK("https://www.hootsuite.com","Hootsuite Inc.")</f>
        <v>Hootsuite Inc.</v>
      </c>
      <c r="L1312" s="14">
        <v>6245</v>
      </c>
      <c r="M1312" s="14">
        <v>1107</v>
      </c>
      <c r="N1312" s="14">
        <v>96</v>
      </c>
      <c r="O1312" s="19" t="s">
        <v>42</v>
      </c>
      <c r="P1312" s="6">
        <v>40745.431666666671</v>
      </c>
      <c r="Q1312" s="12" t="s">
        <v>820</v>
      </c>
      <c r="R1312" s="17" t="s">
        <v>821</v>
      </c>
      <c r="S1312" s="13" t="s">
        <v>822</v>
      </c>
      <c r="T1312" s="11"/>
      <c r="U1312" s="10" t="str">
        <f>HYPERLINK("https://pbs.twimg.com/profile_images/1053559144299614208/SFwaZPxU.jpg","View")</f>
        <v>View</v>
      </c>
    </row>
    <row r="1313" spans="1:21" ht="71.400000000000006">
      <c r="A1313" s="6">
        <v>43439.846620370372</v>
      </c>
      <c r="B1313" s="7" t="str">
        <f>HYPERLINK("https://twitter.com/mrosagarzia","@mrosagarzia")</f>
        <v>@mrosagarzia</v>
      </c>
      <c r="C1313" s="8" t="s">
        <v>4463</v>
      </c>
      <c r="D1313" s="9" t="s">
        <v>4464</v>
      </c>
      <c r="E1313" s="10" t="str">
        <f>HYPERLINK("https://twitter.com/mrosagarzia/status/1070397175597854720","1070397175597854720")</f>
        <v>1070397175597854720</v>
      </c>
      <c r="F1313" s="12" t="s">
        <v>4465</v>
      </c>
      <c r="G1313" s="11"/>
      <c r="H1313" s="11"/>
      <c r="I1313" s="14">
        <v>1</v>
      </c>
      <c r="J1313" s="14">
        <v>0</v>
      </c>
      <c r="K1313" s="15" t="str">
        <f>HYPERLINK("http://twitter.com/download/android","Twitter for Android")</f>
        <v>Twitter for Android</v>
      </c>
      <c r="L1313" s="14">
        <v>568</v>
      </c>
      <c r="M1313" s="14">
        <v>735</v>
      </c>
      <c r="N1313" s="14">
        <v>7</v>
      </c>
      <c r="O1313" s="16"/>
      <c r="P1313" s="6">
        <v>42003.381122685183</v>
      </c>
      <c r="Q1313" s="11"/>
      <c r="R1313" s="17" t="s">
        <v>4466</v>
      </c>
      <c r="S1313" s="11"/>
      <c r="T1313" s="11"/>
      <c r="U1313" s="10" t="str">
        <f>HYPERLINK("https://pbs.twimg.com/profile_images/1068099906324307968/r6I3xi0D.jpg","View")</f>
        <v>View</v>
      </c>
    </row>
    <row r="1314" spans="1:21" ht="51">
      <c r="A1314" s="6">
        <v>43439.846446759257</v>
      </c>
      <c r="B1314" s="7" t="str">
        <f>HYPERLINK("https://twitter.com/CiudadanosCs","@CiudadanosCs")</f>
        <v>@CiudadanosCs</v>
      </c>
      <c r="C1314" s="8" t="s">
        <v>489</v>
      </c>
      <c r="D1314" s="9" t="s">
        <v>2260</v>
      </c>
      <c r="E1314" s="10" t="str">
        <f>HYPERLINK("https://twitter.com/CiudadanosCs/status/1070397111290789890","1070397111290789890")</f>
        <v>1070397111290789890</v>
      </c>
      <c r="F1314" s="11"/>
      <c r="G1314" s="13" t="s">
        <v>4467</v>
      </c>
      <c r="H1314" s="11"/>
      <c r="I1314" s="14">
        <v>107</v>
      </c>
      <c r="J1314" s="14">
        <v>166</v>
      </c>
      <c r="K1314" s="15" t="str">
        <f t="shared" ref="K1314:K1315" si="273">HYPERLINK("http://twitter.com","Twitter Web Client")</f>
        <v>Twitter Web Client</v>
      </c>
      <c r="L1314" s="14">
        <v>490821</v>
      </c>
      <c r="M1314" s="14">
        <v>93557</v>
      </c>
      <c r="N1314" s="14">
        <v>3338</v>
      </c>
      <c r="O1314" s="19" t="s">
        <v>42</v>
      </c>
      <c r="P1314" s="6">
        <v>39828.753460648149</v>
      </c>
      <c r="Q1314" s="12" t="s">
        <v>137</v>
      </c>
      <c r="R1314" s="17" t="s">
        <v>492</v>
      </c>
      <c r="S1314" s="13" t="s">
        <v>493</v>
      </c>
      <c r="T1314" s="11"/>
      <c r="U1314" s="10" t="str">
        <f>HYPERLINK("https://pbs.twimg.com/profile_images/1053554096161075200/1z77_zBZ.jpg","View")</f>
        <v>View</v>
      </c>
    </row>
    <row r="1315" spans="1:21" ht="51">
      <c r="A1315" s="6">
        <v>43439.845949074079</v>
      </c>
      <c r="B1315" s="7" t="str">
        <f>HYPERLINK("https://twitter.com/_Gafas_y_reloj_","@_Gafas_y_reloj_")</f>
        <v>@_Gafas_y_reloj_</v>
      </c>
      <c r="C1315" s="8" t="s">
        <v>284</v>
      </c>
      <c r="D1315" s="9" t="s">
        <v>4471</v>
      </c>
      <c r="E1315" s="10" t="str">
        <f>HYPERLINK("https://twitter.com/_Gafas_y_reloj_/status/1070396931204177921","1070396931204177921")</f>
        <v>1070396931204177921</v>
      </c>
      <c r="F1315" s="11"/>
      <c r="G1315" s="11"/>
      <c r="H1315" s="11"/>
      <c r="I1315" s="14">
        <v>7</v>
      </c>
      <c r="J1315" s="14">
        <v>15</v>
      </c>
      <c r="K1315" s="15" t="str">
        <f t="shared" si="273"/>
        <v>Twitter Web Client</v>
      </c>
      <c r="L1315" s="14">
        <v>11839</v>
      </c>
      <c r="M1315" s="14">
        <v>718</v>
      </c>
      <c r="N1315" s="14">
        <v>194</v>
      </c>
      <c r="O1315" s="16"/>
      <c r="P1315" s="6">
        <v>40803.430173611108</v>
      </c>
      <c r="Q1315" s="12" t="s">
        <v>288</v>
      </c>
      <c r="R1315" s="17" t="s">
        <v>289</v>
      </c>
      <c r="S1315" s="11"/>
      <c r="T1315" s="11"/>
      <c r="U1315" s="10" t="str">
        <f>HYPERLINK("https://pbs.twimg.com/profile_images/923940667965038593/LEd9tLut.jpg","View")</f>
        <v>View</v>
      </c>
    </row>
    <row r="1316" spans="1:21" ht="40.799999999999997">
      <c r="A1316" s="6">
        <v>43439.845636574071</v>
      </c>
      <c r="B1316" s="7" t="str">
        <f>HYPERLINK("https://twitter.com/jesusaraujo33","@jesusaraujo33")</f>
        <v>@jesusaraujo33</v>
      </c>
      <c r="C1316" s="8" t="s">
        <v>5292</v>
      </c>
      <c r="D1316" s="9" t="s">
        <v>5293</v>
      </c>
      <c r="E1316" s="10" t="str">
        <f>HYPERLINK("https://twitter.com/jesusaraujo33/status/1070396820180926464","1070396820180926464")</f>
        <v>1070396820180926464</v>
      </c>
      <c r="F1316" s="11"/>
      <c r="G1316" s="11"/>
      <c r="H1316" s="11"/>
      <c r="I1316" s="14">
        <v>0</v>
      </c>
      <c r="J1316" s="14">
        <v>1</v>
      </c>
      <c r="K1316" s="15" t="str">
        <f>HYPERLINK("http://twitter.com/download/android","Twitter for Android")</f>
        <v>Twitter for Android</v>
      </c>
      <c r="L1316" s="14">
        <v>745</v>
      </c>
      <c r="M1316" s="14">
        <v>963</v>
      </c>
      <c r="N1316" s="14">
        <v>22</v>
      </c>
      <c r="O1316" s="16"/>
      <c r="P1316" s="6">
        <v>40970.84684027778</v>
      </c>
      <c r="Q1316" s="12" t="s">
        <v>5295</v>
      </c>
      <c r="R1316" s="17" t="s">
        <v>5296</v>
      </c>
      <c r="S1316" s="13" t="s">
        <v>5297</v>
      </c>
      <c r="T1316" s="11"/>
      <c r="U1316" s="10" t="str">
        <f>HYPERLINK("https://pbs.twimg.com/profile_images/1065673811390025728/bl_dZXaO.jpg","View")</f>
        <v>View</v>
      </c>
    </row>
    <row r="1317" spans="1:21" ht="30.6">
      <c r="A1317" s="6">
        <v>43439.845335648148</v>
      </c>
      <c r="B1317" s="7" t="str">
        <f>HYPERLINK("https://twitter.com/Geertxu","@Geertxu")</f>
        <v>@Geertxu</v>
      </c>
      <c r="C1317" s="8" t="s">
        <v>5300</v>
      </c>
      <c r="D1317" s="9" t="s">
        <v>5301</v>
      </c>
      <c r="E1317" s="10" t="str">
        <f>HYPERLINK("https://twitter.com/Geertxu/status/1070396710566969344","1070396710566969344")</f>
        <v>1070396710566969344</v>
      </c>
      <c r="F1317" s="11"/>
      <c r="G1317" s="11"/>
      <c r="H1317" s="11"/>
      <c r="I1317" s="14">
        <v>2</v>
      </c>
      <c r="J1317" s="14">
        <v>9</v>
      </c>
      <c r="K1317" s="15" t="str">
        <f t="shared" ref="K1317:K1319" si="274">HYPERLINK("http://twitter.com/download/iphone","Twitter for iPhone")</f>
        <v>Twitter for iPhone</v>
      </c>
      <c r="L1317" s="14">
        <v>2928</v>
      </c>
      <c r="M1317" s="14">
        <v>998</v>
      </c>
      <c r="N1317" s="14">
        <v>45</v>
      </c>
      <c r="O1317" s="16"/>
      <c r="P1317" s="6">
        <v>40612.667673611111</v>
      </c>
      <c r="Q1317" s="12" t="s">
        <v>5303</v>
      </c>
      <c r="R1317" s="17" t="s">
        <v>5304</v>
      </c>
      <c r="S1317" s="11"/>
      <c r="T1317" s="11"/>
      <c r="U1317" s="10" t="str">
        <f>HYPERLINK("https://pbs.twimg.com/profile_images/1050871193451094021/VjkUgdJO.jpg","View")</f>
        <v>View</v>
      </c>
    </row>
    <row r="1318" spans="1:21" ht="20.399999999999999">
      <c r="A1318" s="6">
        <v>43439.844699074078</v>
      </c>
      <c r="B1318" s="7" t="str">
        <f>HYPERLINK("https://twitter.com/soyjosemari","@soyjosemari")</f>
        <v>@soyjosemari</v>
      </c>
      <c r="C1318" s="8" t="s">
        <v>4475</v>
      </c>
      <c r="D1318" s="9" t="s">
        <v>4476</v>
      </c>
      <c r="E1318" s="10" t="str">
        <f>HYPERLINK("https://twitter.com/soyjosemari/status/1070396478567391232","1070396478567391232")</f>
        <v>1070396478567391232</v>
      </c>
      <c r="F1318" s="11"/>
      <c r="G1318" s="11"/>
      <c r="H1318" s="11"/>
      <c r="I1318" s="14">
        <v>0</v>
      </c>
      <c r="J1318" s="14">
        <v>0</v>
      </c>
      <c r="K1318" s="15" t="str">
        <f t="shared" si="274"/>
        <v>Twitter for iPhone</v>
      </c>
      <c r="L1318" s="14">
        <v>128</v>
      </c>
      <c r="M1318" s="14">
        <v>129</v>
      </c>
      <c r="N1318" s="14">
        <v>2</v>
      </c>
      <c r="O1318" s="16"/>
      <c r="P1318" s="6">
        <v>40920.976898148147</v>
      </c>
      <c r="Q1318" s="11"/>
      <c r="R1318" s="17" t="s">
        <v>4480</v>
      </c>
      <c r="S1318" s="11"/>
      <c r="T1318" s="11"/>
      <c r="U1318" s="10" t="str">
        <f>HYPERLINK("https://pbs.twimg.com/profile_images/679433009683161088/vlX3HNXV.jpg","View")</f>
        <v>View</v>
      </c>
    </row>
    <row r="1319" spans="1:21" ht="40.799999999999997">
      <c r="A1319" s="6">
        <v>43439.844212962962</v>
      </c>
      <c r="B1319" s="7" t="str">
        <f>HYPERLINK("https://twitter.com/Exojo","@Exojo")</f>
        <v>@Exojo</v>
      </c>
      <c r="C1319" s="8" t="s">
        <v>4439</v>
      </c>
      <c r="D1319" s="9" t="s">
        <v>4484</v>
      </c>
      <c r="E1319" s="10" t="str">
        <f>HYPERLINK("https://twitter.com/Exojo/status/1070396305653010432","1070396305653010432")</f>
        <v>1070396305653010432</v>
      </c>
      <c r="F1319" s="11"/>
      <c r="G1319" s="11"/>
      <c r="H1319" s="11"/>
      <c r="I1319" s="14">
        <v>0</v>
      </c>
      <c r="J1319" s="14">
        <v>0</v>
      </c>
      <c r="K1319" s="15" t="str">
        <f t="shared" si="274"/>
        <v>Twitter for iPhone</v>
      </c>
      <c r="L1319" s="14">
        <v>4720</v>
      </c>
      <c r="M1319" s="14">
        <v>409</v>
      </c>
      <c r="N1319" s="14">
        <v>64</v>
      </c>
      <c r="O1319" s="16"/>
      <c r="P1319" s="6">
        <v>40403.796909722223</v>
      </c>
      <c r="Q1319" s="12" t="s">
        <v>137</v>
      </c>
      <c r="R1319" s="17" t="s">
        <v>4441</v>
      </c>
      <c r="S1319" s="13" t="s">
        <v>4443</v>
      </c>
      <c r="T1319" s="11"/>
      <c r="U1319" s="10" t="str">
        <f>HYPERLINK("https://pbs.twimg.com/profile_images/1046020348444127232/eV_FmAjp.jpg","View")</f>
        <v>View</v>
      </c>
    </row>
    <row r="1320" spans="1:21" ht="40.799999999999997">
      <c r="A1320" s="6">
        <v>43439.843819444446</v>
      </c>
      <c r="B1320" s="7" t="str">
        <f>HYPERLINK("https://twitter.com/GiovannaValls","@GiovannaValls")</f>
        <v>@GiovannaValls</v>
      </c>
      <c r="C1320" s="8" t="s">
        <v>5309</v>
      </c>
      <c r="D1320" s="9" t="s">
        <v>5310</v>
      </c>
      <c r="E1320" s="10" t="str">
        <f>HYPERLINK("https://twitter.com/GiovannaValls/status/1070396160974749697","1070396160974749697")</f>
        <v>1070396160974749697</v>
      </c>
      <c r="F1320" s="13" t="s">
        <v>4511</v>
      </c>
      <c r="G1320" s="11"/>
      <c r="H1320" s="11"/>
      <c r="I1320" s="14">
        <v>4</v>
      </c>
      <c r="J1320" s="14">
        <v>8</v>
      </c>
      <c r="K1320" s="15" t="str">
        <f>HYPERLINK("http://twitter.com/download/android","Twitter for Android")</f>
        <v>Twitter for Android</v>
      </c>
      <c r="L1320" s="14">
        <v>8748</v>
      </c>
      <c r="M1320" s="14">
        <v>1525</v>
      </c>
      <c r="N1320" s="14">
        <v>41</v>
      </c>
      <c r="O1320" s="16"/>
      <c r="P1320" s="6">
        <v>42210.681620370371</v>
      </c>
      <c r="Q1320" s="12" t="s">
        <v>1785</v>
      </c>
      <c r="R1320" s="17" t="s">
        <v>5312</v>
      </c>
      <c r="S1320" s="11"/>
      <c r="T1320" s="11"/>
      <c r="U1320" s="10" t="str">
        <f>HYPERLINK("https://pbs.twimg.com/profile_images/1047496460663775232/qUTNsie-.jpg","View")</f>
        <v>View</v>
      </c>
    </row>
    <row r="1321" spans="1:21" ht="30.6">
      <c r="A1321" s="6">
        <v>43439.843009259261</v>
      </c>
      <c r="B1321" s="7" t="str">
        <f>HYPERLINK("https://twitter.com/elperiodico","@elperiodico")</f>
        <v>@elperiodico</v>
      </c>
      <c r="C1321" s="8" t="s">
        <v>5313</v>
      </c>
      <c r="D1321" s="9" t="s">
        <v>2196</v>
      </c>
      <c r="E1321" s="10" t="str">
        <f>HYPERLINK("https://twitter.com/elperiodico/status/1070395869617373186","1070395869617373186")</f>
        <v>1070395869617373186</v>
      </c>
      <c r="F1321" s="13" t="s">
        <v>5314</v>
      </c>
      <c r="G1321" s="11"/>
      <c r="H1321" s="11"/>
      <c r="I1321" s="14">
        <v>3</v>
      </c>
      <c r="J1321" s="14">
        <v>5</v>
      </c>
      <c r="K1321" s="15" t="str">
        <f>HYPERLINK("http://dogtrack.es","DogTrack_Oficial")</f>
        <v>DogTrack_Oficial</v>
      </c>
      <c r="L1321" s="14">
        <v>598018</v>
      </c>
      <c r="M1321" s="14">
        <v>18495</v>
      </c>
      <c r="N1321" s="14">
        <v>6944</v>
      </c>
      <c r="O1321" s="19" t="s">
        <v>42</v>
      </c>
      <c r="P1321" s="6">
        <v>40456.539560185185</v>
      </c>
      <c r="Q1321" s="12" t="s">
        <v>83</v>
      </c>
      <c r="R1321" s="17" t="s">
        <v>5317</v>
      </c>
      <c r="S1321" s="13" t="s">
        <v>5318</v>
      </c>
      <c r="T1321" s="11"/>
      <c r="U1321" s="10" t="str">
        <f>HYPERLINK("https://pbs.twimg.com/profile_images/876802324135653377/s4G6oS9o.jpg","View")</f>
        <v>View</v>
      </c>
    </row>
    <row r="1322" spans="1:21" ht="20.399999999999999">
      <c r="A1322" s="6">
        <v>43439.842870370368</v>
      </c>
      <c r="B1322" s="7" t="str">
        <f>HYPERLINK("https://twitter.com/Entelequio2","@Entelequio2")</f>
        <v>@Entelequio2</v>
      </c>
      <c r="C1322" s="8" t="s">
        <v>5321</v>
      </c>
      <c r="D1322" s="9" t="s">
        <v>5322</v>
      </c>
      <c r="E1322" s="10" t="str">
        <f>HYPERLINK("https://twitter.com/Entelequio2/status/1070395815309557760","1070395815309557760")</f>
        <v>1070395815309557760</v>
      </c>
      <c r="F1322" s="11"/>
      <c r="G1322" s="11"/>
      <c r="H1322" s="11"/>
      <c r="I1322" s="14">
        <v>0</v>
      </c>
      <c r="J1322" s="14">
        <v>0</v>
      </c>
      <c r="K1322" s="15" t="str">
        <f>HYPERLINK("http://twitter.com/download/android","Twitter for Android")</f>
        <v>Twitter for Android</v>
      </c>
      <c r="L1322" s="14">
        <v>76</v>
      </c>
      <c r="M1322" s="14">
        <v>170</v>
      </c>
      <c r="N1322" s="14">
        <v>0</v>
      </c>
      <c r="O1322" s="16"/>
      <c r="P1322" s="6">
        <v>43121.430196759262</v>
      </c>
      <c r="Q1322" s="11"/>
      <c r="R1322" s="17" t="s">
        <v>5323</v>
      </c>
      <c r="S1322" s="11"/>
      <c r="T1322" s="11"/>
      <c r="U1322" s="10" t="str">
        <f>HYPERLINK("https://pbs.twimg.com/profile_images/978978623318315008/sAbljkLv.jpg","View")</f>
        <v>View</v>
      </c>
    </row>
    <row r="1323" spans="1:21" ht="30.6">
      <c r="A1323" s="6">
        <v>43439.842523148152</v>
      </c>
      <c r="B1323" s="7" t="str">
        <f>HYPERLINK("https://twitter.com/_aitanaa19","@_aitanaa19")</f>
        <v>@_aitanaa19</v>
      </c>
      <c r="C1323" s="8" t="s">
        <v>5325</v>
      </c>
      <c r="D1323" s="9" t="s">
        <v>5326</v>
      </c>
      <c r="E1323" s="10" t="str">
        <f>HYPERLINK("https://twitter.com/_aitanaa19/status/1070395691707572224","1070395691707572224")</f>
        <v>1070395691707572224</v>
      </c>
      <c r="F1323" s="11"/>
      <c r="G1323" s="11"/>
      <c r="H1323" s="11"/>
      <c r="I1323" s="14">
        <v>0</v>
      </c>
      <c r="J1323" s="14">
        <v>0</v>
      </c>
      <c r="K1323" s="15" t="str">
        <f>HYPERLINK("http://twitter.com/download/iphone","Twitter for iPhone")</f>
        <v>Twitter for iPhone</v>
      </c>
      <c r="L1323" s="14">
        <v>352</v>
      </c>
      <c r="M1323" s="14">
        <v>305</v>
      </c>
      <c r="N1323" s="14">
        <v>1</v>
      </c>
      <c r="O1323" s="16"/>
      <c r="P1323" s="6">
        <v>41617.727986111109</v>
      </c>
      <c r="Q1323" s="12" t="s">
        <v>5320</v>
      </c>
      <c r="R1323" s="17" t="s">
        <v>5328</v>
      </c>
      <c r="S1323" s="13" t="s">
        <v>5329</v>
      </c>
      <c r="T1323" s="11"/>
      <c r="U1323" s="10" t="str">
        <f>HYPERLINK("https://pbs.twimg.com/profile_images/1068216291104825344/KIfdunes.jpg","View")</f>
        <v>View</v>
      </c>
    </row>
    <row r="1324" spans="1:21" ht="20.399999999999999">
      <c r="A1324" s="6">
        <v>43439.842442129629</v>
      </c>
      <c r="B1324" s="7" t="str">
        <f>HYPERLINK("https://twitter.com/VencFum","@VencFum")</f>
        <v>@VencFum</v>
      </c>
      <c r="C1324" s="8" t="s">
        <v>5330</v>
      </c>
      <c r="D1324" s="9" t="s">
        <v>5331</v>
      </c>
      <c r="E1324" s="10" t="str">
        <f>HYPERLINK("https://twitter.com/VencFum/status/1070395662532050944","1070395662532050944")</f>
        <v>1070395662532050944</v>
      </c>
      <c r="F1324" s="11"/>
      <c r="G1324" s="11"/>
      <c r="H1324" s="11"/>
      <c r="I1324" s="14">
        <v>0</v>
      </c>
      <c r="J1324" s="14">
        <v>0</v>
      </c>
      <c r="K1324" s="15" t="str">
        <f t="shared" ref="K1324:K1325" si="275">HYPERLINK("http://twitter.com/download/android","Twitter for Android")</f>
        <v>Twitter for Android</v>
      </c>
      <c r="L1324" s="14">
        <v>77</v>
      </c>
      <c r="M1324" s="14">
        <v>699</v>
      </c>
      <c r="N1324" s="14">
        <v>5</v>
      </c>
      <c r="O1324" s="16"/>
      <c r="P1324" s="6">
        <v>41593.846909722226</v>
      </c>
      <c r="Q1324" s="12" t="s">
        <v>5332</v>
      </c>
      <c r="R1324" s="17" t="s">
        <v>5333</v>
      </c>
      <c r="S1324" s="11"/>
      <c r="T1324" s="11"/>
      <c r="U1324" s="10" t="str">
        <f>HYPERLINK("https://pbs.twimg.com/profile_images/378800000802927567/128490feb05014ad7674c6cc8dd7db86.png","View")</f>
        <v>View</v>
      </c>
    </row>
    <row r="1325" spans="1:21" ht="51">
      <c r="A1325" s="6">
        <v>43439.842314814814</v>
      </c>
      <c r="B1325" s="7" t="str">
        <f>HYPERLINK("https://twitter.com/Sentid2016Comun","@Sentid2016Comun")</f>
        <v>@Sentid2016Comun</v>
      </c>
      <c r="C1325" s="8" t="s">
        <v>5336</v>
      </c>
      <c r="D1325" s="9" t="s">
        <v>5337</v>
      </c>
      <c r="E1325" s="10" t="str">
        <f>HYPERLINK("https://twitter.com/Sentid2016Comun/status/1070395617409548288","1070395617409548288")</f>
        <v>1070395617409548288</v>
      </c>
      <c r="F1325" s="13" t="s">
        <v>5338</v>
      </c>
      <c r="G1325" s="13" t="s">
        <v>5340</v>
      </c>
      <c r="H1325" s="11"/>
      <c r="I1325" s="14">
        <v>7</v>
      </c>
      <c r="J1325" s="14">
        <v>5</v>
      </c>
      <c r="K1325" s="15" t="str">
        <f t="shared" si="275"/>
        <v>Twitter for Android</v>
      </c>
      <c r="L1325" s="14">
        <v>10823</v>
      </c>
      <c r="M1325" s="14">
        <v>5755</v>
      </c>
      <c r="N1325" s="14">
        <v>81</v>
      </c>
      <c r="O1325" s="16"/>
      <c r="P1325" s="6">
        <v>42390.778402777782</v>
      </c>
      <c r="Q1325" s="12" t="s">
        <v>5341</v>
      </c>
      <c r="R1325" s="17" t="s">
        <v>5342</v>
      </c>
      <c r="S1325" s="11"/>
      <c r="T1325" s="11"/>
      <c r="U1325" s="10" t="str">
        <f>HYPERLINK("https://pbs.twimg.com/profile_images/1014943527091007489/0DYDjPSk.jpg","View")</f>
        <v>View</v>
      </c>
    </row>
    <row r="1326" spans="1:21" ht="40.799999999999997">
      <c r="A1326" s="6">
        <v>43439.841516203705</v>
      </c>
      <c r="B1326" s="7" t="str">
        <f>HYPERLINK("https://twitter.com/Akrainsurrecto","@Akrainsurrecto")</f>
        <v>@Akrainsurrecto</v>
      </c>
      <c r="C1326" s="8" t="s">
        <v>1480</v>
      </c>
      <c r="D1326" s="9" t="s">
        <v>4485</v>
      </c>
      <c r="E1326" s="10" t="str">
        <f>HYPERLINK("https://twitter.com/Akrainsurrecto/status/1070395326295621632","1070395326295621632")</f>
        <v>1070395326295621632</v>
      </c>
      <c r="F1326" s="11"/>
      <c r="G1326" s="11"/>
      <c r="H1326" s="11"/>
      <c r="I1326" s="14">
        <v>0</v>
      </c>
      <c r="J1326" s="14">
        <v>0</v>
      </c>
      <c r="K1326" s="15" t="str">
        <f>HYPERLINK("http://twitter.com","Twitter Web Client")</f>
        <v>Twitter Web Client</v>
      </c>
      <c r="L1326" s="14">
        <v>2644</v>
      </c>
      <c r="M1326" s="14">
        <v>2264</v>
      </c>
      <c r="N1326" s="14">
        <v>12</v>
      </c>
      <c r="O1326" s="16"/>
      <c r="P1326" s="6">
        <v>41584.492210648146</v>
      </c>
      <c r="Q1326" s="11"/>
      <c r="R1326" s="17" t="s">
        <v>1482</v>
      </c>
      <c r="S1326" s="11"/>
      <c r="T1326" s="11"/>
      <c r="U1326" s="10" t="str">
        <f>HYPERLINK("https://pbs.twimg.com/profile_images/378800000702242175/9308473ee8d6e49754ad631151c2ec8b.jpeg","View")</f>
        <v>View</v>
      </c>
    </row>
    <row r="1327" spans="1:21" ht="40.799999999999997">
      <c r="A1327" s="6">
        <v>43439.840486111112</v>
      </c>
      <c r="B1327" s="7" t="str">
        <f>HYPERLINK("https://twitter.com/Ismaelescuincs","@Ismaelescuincs")</f>
        <v>@Ismaelescuincs</v>
      </c>
      <c r="C1327" s="8" t="s">
        <v>937</v>
      </c>
      <c r="D1327" s="9" t="s">
        <v>4491</v>
      </c>
      <c r="E1327" s="10" t="str">
        <f>HYPERLINK("https://twitter.com/Ismaelescuincs/status/1070394953321332736","1070394953321332736")</f>
        <v>1070394953321332736</v>
      </c>
      <c r="F1327" s="11"/>
      <c r="G1327" s="13" t="s">
        <v>4501</v>
      </c>
      <c r="H1327" s="11"/>
      <c r="I1327" s="14">
        <v>23</v>
      </c>
      <c r="J1327" s="14">
        <v>21</v>
      </c>
      <c r="K1327" s="15" t="str">
        <f>HYPERLINK("http://twitter.com/download/iphone","Twitter for iPhone")</f>
        <v>Twitter for iPhone</v>
      </c>
      <c r="L1327" s="14">
        <v>1138</v>
      </c>
      <c r="M1327" s="14">
        <v>1215</v>
      </c>
      <c r="N1327" s="14">
        <v>1</v>
      </c>
      <c r="O1327" s="16"/>
      <c r="P1327" s="6">
        <v>43085.040821759263</v>
      </c>
      <c r="Q1327" s="12" t="s">
        <v>946</v>
      </c>
      <c r="R1327" s="17" t="s">
        <v>948</v>
      </c>
      <c r="S1327" s="13" t="s">
        <v>950</v>
      </c>
      <c r="T1327" s="11"/>
      <c r="U1327" s="10" t="str">
        <f>HYPERLINK("https://pbs.twimg.com/profile_images/1041730517530492928/JLvy_OFv.jpg","View")</f>
        <v>View</v>
      </c>
    </row>
    <row r="1328" spans="1:21" ht="30.6">
      <c r="A1328" s="6">
        <v>43439.840428240743</v>
      </c>
      <c r="B1328" s="7" t="str">
        <f>HYPERLINK("https://twitter.com/InfoHeaders_Tes","@InfoHeaders_Tes")</f>
        <v>@InfoHeaders_Tes</v>
      </c>
      <c r="C1328" s="8" t="s">
        <v>3294</v>
      </c>
      <c r="D1328" s="9" t="s">
        <v>5347</v>
      </c>
      <c r="E1328" s="10" t="str">
        <f>HYPERLINK("https://twitter.com/InfoHeaders_Tes/status/1070394932890865664","1070394932890865664")</f>
        <v>1070394932890865664</v>
      </c>
      <c r="F1328" s="13" t="s">
        <v>5348</v>
      </c>
      <c r="G1328" s="11"/>
      <c r="H1328" s="11"/>
      <c r="I1328" s="14">
        <v>0</v>
      </c>
      <c r="J1328" s="14">
        <v>0</v>
      </c>
      <c r="K1328" s="15" t="str">
        <f>HYPERLINK("http://www.infoheaders.com","Send _Tw_INFH_Test")</f>
        <v>Send _Tw_INFH_Test</v>
      </c>
      <c r="L1328" s="14">
        <v>201</v>
      </c>
      <c r="M1328" s="14">
        <v>1</v>
      </c>
      <c r="N1328" s="14">
        <v>100</v>
      </c>
      <c r="O1328" s="16"/>
      <c r="P1328" s="6">
        <v>41315.710497685184</v>
      </c>
      <c r="Q1328" s="12" t="s">
        <v>137</v>
      </c>
      <c r="R1328" s="17" t="s">
        <v>3296</v>
      </c>
      <c r="S1328" s="13" t="s">
        <v>3297</v>
      </c>
      <c r="T1328" s="11"/>
      <c r="U1328" s="10" t="str">
        <f>HYPERLINK("https://pbs.twimg.com/profile_images/3234700567/566c3c8e394f76d77a41eafe1bfc7aa3.jpeg","View")</f>
        <v>View</v>
      </c>
    </row>
    <row r="1329" spans="1:21" ht="30.6">
      <c r="A1329" s="6">
        <v>43439.838877314818</v>
      </c>
      <c r="B1329" s="7" t="str">
        <f>HYPERLINK("https://twitter.com/aBeLiYo_o","@aBeLiYo_o")</f>
        <v>@aBeLiYo_o</v>
      </c>
      <c r="C1329" s="8" t="s">
        <v>4503</v>
      </c>
      <c r="D1329" s="9" t="s">
        <v>4504</v>
      </c>
      <c r="E1329" s="10" t="str">
        <f>HYPERLINK("https://twitter.com/aBeLiYo_o/status/1070394369977532419","1070394369977532419")</f>
        <v>1070394369977532419</v>
      </c>
      <c r="F1329" s="11"/>
      <c r="G1329" s="11"/>
      <c r="H1329" s="11"/>
      <c r="I1329" s="14">
        <v>5</v>
      </c>
      <c r="J1329" s="14">
        <v>9</v>
      </c>
      <c r="K1329" s="15" t="str">
        <f t="shared" ref="K1329:K1330" si="276">HYPERLINK("http://twitter.com/download/android","Twitter for Android")</f>
        <v>Twitter for Android</v>
      </c>
      <c r="L1329" s="14">
        <v>240</v>
      </c>
      <c r="M1329" s="14">
        <v>379</v>
      </c>
      <c r="N1329" s="14">
        <v>2</v>
      </c>
      <c r="O1329" s="16"/>
      <c r="P1329" s="6">
        <v>40720.701585648145</v>
      </c>
      <c r="Q1329" s="12" t="s">
        <v>887</v>
      </c>
      <c r="R1329" s="17" t="s">
        <v>4505</v>
      </c>
      <c r="S1329" s="11"/>
      <c r="T1329" s="11"/>
      <c r="U1329" s="10" t="str">
        <f>HYPERLINK("https://pbs.twimg.com/profile_images/982706532323418113/bKf6-SCR.jpg","View")</f>
        <v>View</v>
      </c>
    </row>
    <row r="1330" spans="1:21" ht="51">
      <c r="A1330" s="6">
        <v>43439.836805555555</v>
      </c>
      <c r="B1330" s="7" t="str">
        <f>HYPERLINK("https://twitter.com/Josegonsan","@Josegonsan")</f>
        <v>@Josegonsan</v>
      </c>
      <c r="C1330" s="8" t="s">
        <v>5352</v>
      </c>
      <c r="D1330" s="9" t="s">
        <v>5353</v>
      </c>
      <c r="E1330" s="10" t="str">
        <f>HYPERLINK("https://twitter.com/Josegonsan/status/1070393620853911553","1070393620853911553")</f>
        <v>1070393620853911553</v>
      </c>
      <c r="F1330" s="11"/>
      <c r="G1330" s="11"/>
      <c r="H1330" s="11"/>
      <c r="I1330" s="14">
        <v>0</v>
      </c>
      <c r="J1330" s="14">
        <v>0</v>
      </c>
      <c r="K1330" s="15" t="str">
        <f t="shared" si="276"/>
        <v>Twitter for Android</v>
      </c>
      <c r="L1330" s="14">
        <v>23</v>
      </c>
      <c r="M1330" s="14">
        <v>117</v>
      </c>
      <c r="N1330" s="14">
        <v>0</v>
      </c>
      <c r="O1330" s="16"/>
      <c r="P1330" s="6">
        <v>42171.603854166664</v>
      </c>
      <c r="Q1330" s="12" t="s">
        <v>5354</v>
      </c>
      <c r="R1330" s="18"/>
      <c r="S1330" s="11"/>
      <c r="T1330" s="11"/>
      <c r="U1330" s="10" t="str">
        <f>HYPERLINK("https://pbs.twimg.com/profile_images/613410644201721857/9uDgGBog.jpg","View")</f>
        <v>View</v>
      </c>
    </row>
    <row r="1331" spans="1:21" ht="40.799999999999997">
      <c r="A1331" s="6">
        <v>43439.836284722223</v>
      </c>
      <c r="B1331" s="7" t="str">
        <f>HYPERLINK("https://twitter.com/CiudadanosCs","@CiudadanosCs")</f>
        <v>@CiudadanosCs</v>
      </c>
      <c r="C1331" s="8" t="s">
        <v>489</v>
      </c>
      <c r="D1331" s="9" t="s">
        <v>2554</v>
      </c>
      <c r="E1331" s="10" t="str">
        <f>HYPERLINK("https://twitter.com/CiudadanosCs/status/1070393432705785857","1070393432705785857")</f>
        <v>1070393432705785857</v>
      </c>
      <c r="F1331" s="11"/>
      <c r="G1331" s="13" t="s">
        <v>4507</v>
      </c>
      <c r="H1331" s="11"/>
      <c r="I1331" s="14">
        <v>94</v>
      </c>
      <c r="J1331" s="14">
        <v>134</v>
      </c>
      <c r="K1331" s="15" t="str">
        <f>HYPERLINK("http://twitter.com","Twitter Web Client")</f>
        <v>Twitter Web Client</v>
      </c>
      <c r="L1331" s="14">
        <v>490821</v>
      </c>
      <c r="M1331" s="14">
        <v>93557</v>
      </c>
      <c r="N1331" s="14">
        <v>3338</v>
      </c>
      <c r="O1331" s="19" t="s">
        <v>42</v>
      </c>
      <c r="P1331" s="6">
        <v>39828.753460648149</v>
      </c>
      <c r="Q1331" s="12" t="s">
        <v>137</v>
      </c>
      <c r="R1331" s="17" t="s">
        <v>492</v>
      </c>
      <c r="S1331" s="13" t="s">
        <v>493</v>
      </c>
      <c r="T1331" s="11"/>
      <c r="U1331" s="10" t="str">
        <f>HYPERLINK("https://pbs.twimg.com/profile_images/1053554096161075200/1z77_zBZ.jpg","View")</f>
        <v>View</v>
      </c>
    </row>
    <row r="1332" spans="1:21" ht="30.6">
      <c r="A1332" s="6">
        <v>43439.835543981477</v>
      </c>
      <c r="B1332" s="7" t="str">
        <f>HYPERLINK("https://twitter.com/GuillermoDiazCs","@GuillermoDiazCs")</f>
        <v>@GuillermoDiazCs</v>
      </c>
      <c r="C1332" s="8" t="s">
        <v>4208</v>
      </c>
      <c r="D1332" s="9" t="s">
        <v>5358</v>
      </c>
      <c r="E1332" s="10" t="str">
        <f>HYPERLINK("https://twitter.com/GuillermoDiazCs/status/1070393163746107394","1070393163746107394")</f>
        <v>1070393163746107394</v>
      </c>
      <c r="F1332" s="13" t="s">
        <v>5359</v>
      </c>
      <c r="G1332" s="11"/>
      <c r="H1332" s="11"/>
      <c r="I1332" s="14">
        <v>15</v>
      </c>
      <c r="J1332" s="14">
        <v>19</v>
      </c>
      <c r="K1332" s="15" t="str">
        <f>HYPERLINK("http://twitter.com/download/iphone","Twitter for iPhone")</f>
        <v>Twitter for iPhone</v>
      </c>
      <c r="L1332" s="14">
        <v>8210</v>
      </c>
      <c r="M1332" s="14">
        <v>2526</v>
      </c>
      <c r="N1332" s="14">
        <v>99</v>
      </c>
      <c r="O1332" s="19" t="s">
        <v>42</v>
      </c>
      <c r="P1332" s="6">
        <v>40477.985486111109</v>
      </c>
      <c r="Q1332" s="12" t="s">
        <v>137</v>
      </c>
      <c r="R1332" s="17" t="s">
        <v>4210</v>
      </c>
      <c r="S1332" s="13" t="s">
        <v>3185</v>
      </c>
      <c r="T1332" s="11"/>
      <c r="U1332" s="10" t="str">
        <f>HYPERLINK("https://pbs.twimg.com/profile_images/1059941636279541762/_k8xBdmd.jpg","View")</f>
        <v>View</v>
      </c>
    </row>
    <row r="1333" spans="1:21" ht="30.6">
      <c r="A1333" s="6">
        <v>43439.835416666669</v>
      </c>
      <c r="B1333" s="7" t="str">
        <f>HYPERLINK("https://twitter.com/sextaNoticias","@sextaNoticias")</f>
        <v>@sextaNoticias</v>
      </c>
      <c r="C1333" s="8" t="s">
        <v>3316</v>
      </c>
      <c r="D1333" s="9" t="s">
        <v>5361</v>
      </c>
      <c r="E1333" s="10" t="str">
        <f>HYPERLINK("https://twitter.com/sextaNoticias/status/1070393117558353922","1070393117558353922")</f>
        <v>1070393117558353922</v>
      </c>
      <c r="F1333" s="13" t="s">
        <v>5362</v>
      </c>
      <c r="G1333" s="13" t="s">
        <v>5363</v>
      </c>
      <c r="H1333" s="11"/>
      <c r="I1333" s="14">
        <v>7</v>
      </c>
      <c r="J1333" s="14">
        <v>11</v>
      </c>
      <c r="K1333" s="15" t="str">
        <f>HYPERLINK("http://dogtrack.es","DogTrack_Oficial")</f>
        <v>DogTrack_Oficial</v>
      </c>
      <c r="L1333" s="14">
        <v>1112666</v>
      </c>
      <c r="M1333" s="14">
        <v>279</v>
      </c>
      <c r="N1333" s="14">
        <v>7291</v>
      </c>
      <c r="O1333" s="19" t="s">
        <v>42</v>
      </c>
      <c r="P1333" s="6">
        <v>40099.614328703705</v>
      </c>
      <c r="Q1333" s="11"/>
      <c r="R1333" s="17" t="s">
        <v>3319</v>
      </c>
      <c r="S1333" s="13" t="s">
        <v>3320</v>
      </c>
      <c r="T1333" s="11"/>
      <c r="U1333" s="10" t="str">
        <f>HYPERLINK("https://pbs.twimg.com/profile_images/898970208551022592/hh3ITSK-.jpg","View")</f>
        <v>View</v>
      </c>
    </row>
    <row r="1334" spans="1:21" ht="30.6">
      <c r="A1334" s="6">
        <v>43439.835034722222</v>
      </c>
      <c r="B1334" s="7" t="str">
        <f>HYPERLINK("https://twitter.com/ironwings3mad","@ironwings3mad")</f>
        <v>@ironwings3mad</v>
      </c>
      <c r="C1334" s="8" t="s">
        <v>5365</v>
      </c>
      <c r="D1334" s="9" t="s">
        <v>5366</v>
      </c>
      <c r="E1334" s="10" t="str">
        <f>HYPERLINK("https://twitter.com/ironwings3mad/status/1070392978722775040","1070392978722775040")</f>
        <v>1070392978722775040</v>
      </c>
      <c r="F1334" s="11"/>
      <c r="G1334" s="11"/>
      <c r="H1334" s="11"/>
      <c r="I1334" s="14">
        <v>0</v>
      </c>
      <c r="J1334" s="14">
        <v>0</v>
      </c>
      <c r="K1334" s="15" t="str">
        <f>HYPERLINK("http://twitter.com","Twitter Web Client")</f>
        <v>Twitter Web Client</v>
      </c>
      <c r="L1334" s="14">
        <v>819</v>
      </c>
      <c r="M1334" s="14">
        <v>806</v>
      </c>
      <c r="N1334" s="14">
        <v>33</v>
      </c>
      <c r="O1334" s="16"/>
      <c r="P1334" s="6">
        <v>42373.78392361111</v>
      </c>
      <c r="Q1334" s="12" t="s">
        <v>5367</v>
      </c>
      <c r="R1334" s="17" t="s">
        <v>5368</v>
      </c>
      <c r="S1334" s="11"/>
      <c r="T1334" s="11"/>
      <c r="U1334" s="10" t="str">
        <f>HYPERLINK("https://pbs.twimg.com/profile_images/1031607844188155904/NgO8adxA.jpg","View")</f>
        <v>View</v>
      </c>
    </row>
    <row r="1335" spans="1:21" ht="40.799999999999997">
      <c r="A1335" s="6">
        <v>43439.834722222222</v>
      </c>
      <c r="B1335" s="7" t="str">
        <f>HYPERLINK("https://twitter.com/bitMomentum","@bitMomentum")</f>
        <v>@bitMomentum</v>
      </c>
      <c r="C1335" s="8" t="s">
        <v>1889</v>
      </c>
      <c r="D1335" s="9" t="s">
        <v>4514</v>
      </c>
      <c r="E1335" s="10" t="str">
        <f>HYPERLINK("https://twitter.com/bitMomentum/status/1070392863022829568","1070392863022829568")</f>
        <v>1070392863022829568</v>
      </c>
      <c r="F1335" s="11"/>
      <c r="G1335" s="11"/>
      <c r="H1335" s="11"/>
      <c r="I1335" s="14">
        <v>0</v>
      </c>
      <c r="J1335" s="14">
        <v>0</v>
      </c>
      <c r="K1335" s="15" t="str">
        <f>HYPERLINK("http://www.bitmomentum.com","bitMomentum Bot")</f>
        <v>bitMomentum Bot</v>
      </c>
      <c r="L1335" s="14">
        <v>10254</v>
      </c>
      <c r="M1335" s="14">
        <v>1059</v>
      </c>
      <c r="N1335" s="14">
        <v>263</v>
      </c>
      <c r="O1335" s="16"/>
      <c r="P1335" s="6">
        <v>41608.667511574073</v>
      </c>
      <c r="Q1335" s="11"/>
      <c r="R1335" s="17" t="s">
        <v>1897</v>
      </c>
      <c r="S1335" s="13" t="s">
        <v>1898</v>
      </c>
      <c r="T1335" s="11"/>
      <c r="U1335" s="10" t="str">
        <f>HYPERLINK("https://pbs.twimg.com/profile_images/378800000862185241/20ij2H3u.png","View")</f>
        <v>View</v>
      </c>
    </row>
    <row r="1336" spans="1:21" ht="51">
      <c r="A1336" s="6">
        <v>43439.83421296296</v>
      </c>
      <c r="B1336" s="7" t="str">
        <f>HYPERLINK("https://twitter.com/ManuB72179071","@ManuB72179071")</f>
        <v>@ManuB72179071</v>
      </c>
      <c r="C1336" s="8" t="s">
        <v>5373</v>
      </c>
      <c r="D1336" s="9" t="s">
        <v>5374</v>
      </c>
      <c r="E1336" s="10" t="str">
        <f>HYPERLINK("https://twitter.com/ManuB72179071/status/1070392678578307073","1070392678578307073")</f>
        <v>1070392678578307073</v>
      </c>
      <c r="F1336" s="11"/>
      <c r="G1336" s="13" t="s">
        <v>5376</v>
      </c>
      <c r="H1336" s="11"/>
      <c r="I1336" s="14">
        <v>0</v>
      </c>
      <c r="J1336" s="14">
        <v>0</v>
      </c>
      <c r="K1336" s="15" t="str">
        <f>HYPERLINK("https://mobile.twitter.com","Twitter Lite")</f>
        <v>Twitter Lite</v>
      </c>
      <c r="L1336" s="14">
        <v>2836</v>
      </c>
      <c r="M1336" s="14">
        <v>4987</v>
      </c>
      <c r="N1336" s="14">
        <v>2</v>
      </c>
      <c r="O1336" s="16"/>
      <c r="P1336" s="6">
        <v>43175.545023148152</v>
      </c>
      <c r="Q1336" s="12" t="s">
        <v>5377</v>
      </c>
      <c r="R1336" s="17" t="s">
        <v>5378</v>
      </c>
      <c r="S1336" s="11"/>
      <c r="T1336" s="11"/>
      <c r="U1336" s="10" t="str">
        <f>HYPERLINK("https://pbs.twimg.com/profile_images/974738793847803905/GnVcFvLw.jpg","View")</f>
        <v>View</v>
      </c>
    </row>
    <row r="1337" spans="1:21" ht="51">
      <c r="A1337" s="6">
        <v>43439.834027777775</v>
      </c>
      <c r="B1337" s="7" t="str">
        <f>HYPERLINK("https://twitter.com/bitMomentum","@bitMomentum")</f>
        <v>@bitMomentum</v>
      </c>
      <c r="C1337" s="8" t="s">
        <v>1889</v>
      </c>
      <c r="D1337" s="9" t="s">
        <v>4517</v>
      </c>
      <c r="E1337" s="10" t="str">
        <f>HYPERLINK("https://twitter.com/bitMomentum/status/1070392611565961216","1070392611565961216")</f>
        <v>1070392611565961216</v>
      </c>
      <c r="F1337" s="11"/>
      <c r="G1337" s="11"/>
      <c r="H1337" s="11"/>
      <c r="I1337" s="14">
        <v>0</v>
      </c>
      <c r="J1337" s="14">
        <v>1</v>
      </c>
      <c r="K1337" s="15" t="str">
        <f>HYPERLINK("http://www.bitmomentum.com","bitMomentum Bot")</f>
        <v>bitMomentum Bot</v>
      </c>
      <c r="L1337" s="14">
        <v>10254</v>
      </c>
      <c r="M1337" s="14">
        <v>1059</v>
      </c>
      <c r="N1337" s="14">
        <v>263</v>
      </c>
      <c r="O1337" s="16"/>
      <c r="P1337" s="6">
        <v>41608.667511574073</v>
      </c>
      <c r="Q1337" s="11"/>
      <c r="R1337" s="17" t="s">
        <v>1897</v>
      </c>
      <c r="S1337" s="13" t="s">
        <v>1898</v>
      </c>
      <c r="T1337" s="11"/>
      <c r="U1337" s="10" t="str">
        <f>HYPERLINK("https://pbs.twimg.com/profile_images/378800000862185241/20ij2H3u.png","View")</f>
        <v>View</v>
      </c>
    </row>
    <row r="1338" spans="1:21" ht="30.6">
      <c r="A1338" s="6">
        <v>43439.833819444444</v>
      </c>
      <c r="B1338" s="7" t="str">
        <f>HYPERLINK("https://twitter.com/prensafresca","@prensafresca")</f>
        <v>@prensafresca</v>
      </c>
      <c r="C1338" s="8" t="s">
        <v>5381</v>
      </c>
      <c r="D1338" s="9" t="s">
        <v>4269</v>
      </c>
      <c r="E1338" s="10" t="str">
        <f>HYPERLINK("https://twitter.com/prensafresca/status/1070392536072634369","1070392536072634369")</f>
        <v>1070392536072634369</v>
      </c>
      <c r="F1338" s="13" t="s">
        <v>5383</v>
      </c>
      <c r="G1338" s="11"/>
      <c r="H1338" s="11"/>
      <c r="I1338" s="14">
        <v>1</v>
      </c>
      <c r="J1338" s="14">
        <v>0</v>
      </c>
      <c r="K1338" s="15" t="str">
        <f>HYPERLINK("http://notAWebYet.com","Tuitulares_v2")</f>
        <v>Tuitulares_v2</v>
      </c>
      <c r="L1338" s="14">
        <v>3912</v>
      </c>
      <c r="M1338" s="14">
        <v>2604</v>
      </c>
      <c r="N1338" s="14">
        <v>86</v>
      </c>
      <c r="O1338" s="16"/>
      <c r="P1338" s="6">
        <v>42414.68813657407</v>
      </c>
      <c r="Q1338" s="11"/>
      <c r="R1338" s="17" t="s">
        <v>5384</v>
      </c>
      <c r="S1338" s="11"/>
      <c r="T1338" s="11"/>
      <c r="U1338" s="10" t="str">
        <f>HYPERLINK("https://pbs.twimg.com/profile_images/712044672676397058/2n9qvNh2.jpg","View")</f>
        <v>View</v>
      </c>
    </row>
    <row r="1339" spans="1:21" ht="20.399999999999999">
      <c r="A1339" s="6">
        <v>43439.833738425921</v>
      </c>
      <c r="B1339" s="7" t="str">
        <f>HYPERLINK("https://twitter.com/ambcoses","@ambcoses")</f>
        <v>@ambcoses</v>
      </c>
      <c r="C1339" s="8" t="s">
        <v>1206</v>
      </c>
      <c r="D1339" s="9" t="s">
        <v>4520</v>
      </c>
      <c r="E1339" s="10" t="str">
        <f>HYPERLINK("https://twitter.com/ambcoses/status/1070392508390301696","1070392508390301696")</f>
        <v>1070392508390301696</v>
      </c>
      <c r="F1339" s="11"/>
      <c r="G1339" s="11"/>
      <c r="H1339" s="11"/>
      <c r="I1339" s="14">
        <v>0</v>
      </c>
      <c r="J1339" s="14">
        <v>0</v>
      </c>
      <c r="K1339" s="15" t="str">
        <f>HYPERLINK("http://twitter.com/#!/download/ipad","Twitter for iPad")</f>
        <v>Twitter for iPad</v>
      </c>
      <c r="L1339" s="14">
        <v>34</v>
      </c>
      <c r="M1339" s="14">
        <v>255</v>
      </c>
      <c r="N1339" s="14">
        <v>0</v>
      </c>
      <c r="O1339" s="16"/>
      <c r="P1339" s="6">
        <v>42663.484039351853</v>
      </c>
      <c r="Q1339" s="12" t="s">
        <v>1209</v>
      </c>
      <c r="R1339" s="17" t="s">
        <v>1210</v>
      </c>
      <c r="S1339" s="11"/>
      <c r="T1339" s="11"/>
      <c r="U1339" s="10" t="str">
        <f>HYPERLINK("https://pbs.twimg.com/profile_images/1050118574126366720/UDz2PSGI.jpg","View")</f>
        <v>View</v>
      </c>
    </row>
    <row r="1340" spans="1:21" ht="40.799999999999997">
      <c r="A1340" s="6">
        <v>43439.833067129628</v>
      </c>
      <c r="B1340" s="7" t="str">
        <f>HYPERLINK("https://twitter.com/Yeyogabe","@Yeyogabe")</f>
        <v>@Yeyogabe</v>
      </c>
      <c r="C1340" s="8" t="s">
        <v>4521</v>
      </c>
      <c r="D1340" s="9" t="s">
        <v>4522</v>
      </c>
      <c r="E1340" s="10" t="str">
        <f>HYPERLINK("https://twitter.com/Yeyogabe/status/1070392263677755398","1070392263677755398")</f>
        <v>1070392263677755398</v>
      </c>
      <c r="F1340" s="12" t="s">
        <v>4523</v>
      </c>
      <c r="G1340" s="11"/>
      <c r="H1340" s="11"/>
      <c r="I1340" s="14">
        <v>0</v>
      </c>
      <c r="J1340" s="14">
        <v>0</v>
      </c>
      <c r="K1340" s="15" t="str">
        <f t="shared" ref="K1340:K1343" si="277">HYPERLINK("http://twitter.com/download/android","Twitter for Android")</f>
        <v>Twitter for Android</v>
      </c>
      <c r="L1340" s="14">
        <v>54</v>
      </c>
      <c r="M1340" s="14">
        <v>250</v>
      </c>
      <c r="N1340" s="14">
        <v>0</v>
      </c>
      <c r="O1340" s="16"/>
      <c r="P1340" s="6">
        <v>43111.79960648148</v>
      </c>
      <c r="Q1340" s="12" t="s">
        <v>4524</v>
      </c>
      <c r="R1340" s="17" t="s">
        <v>4525</v>
      </c>
      <c r="S1340" s="11"/>
      <c r="T1340" s="11"/>
      <c r="U1340" s="10" t="str">
        <f>HYPERLINK("https://pbs.twimg.com/profile_images/951529748437577728/8XmttJhR.jpg","View")</f>
        <v>View</v>
      </c>
    </row>
    <row r="1341" spans="1:21" ht="20.399999999999999">
      <c r="A1341" s="6">
        <v>43439.831828703704</v>
      </c>
      <c r="B1341" s="7" t="str">
        <f>HYPERLINK("https://twitter.com/quiquequiquequi","@quiquequiquequi")</f>
        <v>@quiquequiquequi</v>
      </c>
      <c r="C1341" s="8" t="s">
        <v>4526</v>
      </c>
      <c r="D1341" s="9" t="s">
        <v>4527</v>
      </c>
      <c r="E1341" s="10" t="str">
        <f>HYPERLINK("https://twitter.com/quiquequiquequi/status/1070391816929841154","1070391816929841154")</f>
        <v>1070391816929841154</v>
      </c>
      <c r="F1341" s="11"/>
      <c r="G1341" s="11"/>
      <c r="H1341" s="11"/>
      <c r="I1341" s="14">
        <v>0</v>
      </c>
      <c r="J1341" s="14">
        <v>1</v>
      </c>
      <c r="K1341" s="15" t="str">
        <f t="shared" si="277"/>
        <v>Twitter for Android</v>
      </c>
      <c r="L1341" s="14">
        <v>43</v>
      </c>
      <c r="M1341" s="14">
        <v>157</v>
      </c>
      <c r="N1341" s="14">
        <v>0</v>
      </c>
      <c r="O1341" s="16"/>
      <c r="P1341" s="6">
        <v>43285.442442129628</v>
      </c>
      <c r="Q1341" s="11"/>
      <c r="R1341" s="18"/>
      <c r="S1341" s="11"/>
      <c r="T1341" s="11"/>
      <c r="U1341" s="10" t="str">
        <f>HYPERLINK("https://pbs.twimg.com/profile_images/1071372510858567681/M07OxoLI.jpg","View")</f>
        <v>View</v>
      </c>
    </row>
    <row r="1342" spans="1:21" ht="30.6">
      <c r="A1342" s="6">
        <v>43439.829918981486</v>
      </c>
      <c r="B1342" s="7" t="str">
        <f>HYPERLINK("https://twitter.com/diegocruzblog","@diegocruzblog")</f>
        <v>@diegocruzblog</v>
      </c>
      <c r="C1342" s="8" t="s">
        <v>4528</v>
      </c>
      <c r="D1342" s="9" t="s">
        <v>4529</v>
      </c>
      <c r="E1342" s="10" t="str">
        <f>HYPERLINK("https://twitter.com/diegocruzblog/status/1070391122504097797","1070391122504097797")</f>
        <v>1070391122504097797</v>
      </c>
      <c r="F1342" s="13" t="s">
        <v>4530</v>
      </c>
      <c r="G1342" s="11"/>
      <c r="H1342" s="11"/>
      <c r="I1342" s="14">
        <v>6</v>
      </c>
      <c r="J1342" s="14">
        <v>4</v>
      </c>
      <c r="K1342" s="15" t="str">
        <f t="shared" si="277"/>
        <v>Twitter for Android</v>
      </c>
      <c r="L1342" s="14">
        <v>24191</v>
      </c>
      <c r="M1342" s="14">
        <v>22088</v>
      </c>
      <c r="N1342" s="14">
        <v>538</v>
      </c>
      <c r="O1342" s="16"/>
      <c r="P1342" s="6">
        <v>39465.420439814814</v>
      </c>
      <c r="Q1342" s="12" t="s">
        <v>4531</v>
      </c>
      <c r="R1342" s="17" t="s">
        <v>4532</v>
      </c>
      <c r="S1342" s="13" t="s">
        <v>4533</v>
      </c>
      <c r="T1342" s="11"/>
      <c r="U1342" s="10" t="str">
        <f>HYPERLINK("https://pbs.twimg.com/profile_images/957406979936448513/tF4hyXi5.jpg","View")</f>
        <v>View</v>
      </c>
    </row>
    <row r="1343" spans="1:21" ht="40.799999999999997">
      <c r="A1343" s="6">
        <v>43439.829432870371</v>
      </c>
      <c r="B1343" s="7" t="str">
        <f>HYPERLINK("https://twitter.com/vajejs","@vajejs")</f>
        <v>@vajejs</v>
      </c>
      <c r="C1343" s="8" t="s">
        <v>4534</v>
      </c>
      <c r="D1343" s="9" t="s">
        <v>4535</v>
      </c>
      <c r="E1343" s="10" t="str">
        <f>HYPERLINK("https://twitter.com/vajejs/status/1070390948776042496","1070390948776042496")</f>
        <v>1070390948776042496</v>
      </c>
      <c r="F1343" s="11"/>
      <c r="G1343" s="11"/>
      <c r="H1343" s="11"/>
      <c r="I1343" s="14">
        <v>0</v>
      </c>
      <c r="J1343" s="14">
        <v>0</v>
      </c>
      <c r="K1343" s="15" t="str">
        <f t="shared" si="277"/>
        <v>Twitter for Android</v>
      </c>
      <c r="L1343" s="14">
        <v>21</v>
      </c>
      <c r="M1343" s="14">
        <v>95</v>
      </c>
      <c r="N1343" s="14">
        <v>0</v>
      </c>
      <c r="O1343" s="16"/>
      <c r="P1343" s="6">
        <v>42986.545937499999</v>
      </c>
      <c r="Q1343" s="12" t="s">
        <v>89</v>
      </c>
      <c r="R1343" s="17" t="s">
        <v>4536</v>
      </c>
      <c r="S1343" s="11"/>
      <c r="T1343" s="11"/>
      <c r="U1343" s="10" t="str">
        <f>HYPERLINK("https://pbs.twimg.com/profile_images/1062373256362147841/ZeGEYnkl.jpg","View")</f>
        <v>View</v>
      </c>
    </row>
    <row r="1344" spans="1:21" ht="20.399999999999999">
      <c r="A1344" s="6">
        <v>43439.828993055555</v>
      </c>
      <c r="B1344" s="7" t="str">
        <f>HYPERLINK("https://twitter.com/XavierCasals7","@XavierCasals7")</f>
        <v>@XavierCasals7</v>
      </c>
      <c r="C1344" s="8" t="s">
        <v>5398</v>
      </c>
      <c r="D1344" s="9" t="s">
        <v>5399</v>
      </c>
      <c r="E1344" s="10" t="str">
        <f>HYPERLINK("https://twitter.com/XavierCasals7/status/1070390787530256384","1070390787530256384")</f>
        <v>1070390787530256384</v>
      </c>
      <c r="F1344" s="13" t="s">
        <v>4135</v>
      </c>
      <c r="G1344" s="11"/>
      <c r="H1344" s="11"/>
      <c r="I1344" s="14">
        <v>0</v>
      </c>
      <c r="J1344" s="14">
        <v>0</v>
      </c>
      <c r="K1344" s="15" t="str">
        <f>HYPERLINK("http://twitter.com","Twitter Web Client")</f>
        <v>Twitter Web Client</v>
      </c>
      <c r="L1344" s="14">
        <v>102</v>
      </c>
      <c r="M1344" s="14">
        <v>1436</v>
      </c>
      <c r="N1344" s="14">
        <v>0</v>
      </c>
      <c r="O1344" s="16"/>
      <c r="P1344" s="6">
        <v>43134.593148148153</v>
      </c>
      <c r="Q1344" s="12" t="s">
        <v>581</v>
      </c>
      <c r="R1344" s="17" t="s">
        <v>5400</v>
      </c>
      <c r="S1344" s="11"/>
      <c r="T1344" s="11"/>
      <c r="U1344" s="10" t="str">
        <f>HYPERLINK("https://pbs.twimg.com/profile_images/959780594464055296/vxJIyRj7.jpg","View")</f>
        <v>View</v>
      </c>
    </row>
    <row r="1345" spans="1:21" ht="20.399999999999999">
      <c r="A1345" s="6">
        <v>43439.827800925923</v>
      </c>
      <c r="B1345" s="7" t="str">
        <f>HYPERLINK("https://twitter.com/saray_oc","@saray_oc")</f>
        <v>@saray_oc</v>
      </c>
      <c r="C1345" s="8" t="s">
        <v>4537</v>
      </c>
      <c r="D1345" s="9" t="s">
        <v>4538</v>
      </c>
      <c r="E1345" s="10" t="str">
        <f>HYPERLINK("https://twitter.com/saray_oc/status/1070390355290398721","1070390355290398721")</f>
        <v>1070390355290398721</v>
      </c>
      <c r="F1345" s="11"/>
      <c r="G1345" s="11"/>
      <c r="H1345" s="11"/>
      <c r="I1345" s="14">
        <v>0</v>
      </c>
      <c r="J1345" s="14">
        <v>0</v>
      </c>
      <c r="K1345" s="15" t="str">
        <f>HYPERLINK("http://twitter.com/download/iphone","Twitter for iPhone")</f>
        <v>Twitter for iPhone</v>
      </c>
      <c r="L1345" s="14">
        <v>54</v>
      </c>
      <c r="M1345" s="14">
        <v>257</v>
      </c>
      <c r="N1345" s="14">
        <v>0</v>
      </c>
      <c r="O1345" s="16"/>
      <c r="P1345" s="6">
        <v>41008.588287037041</v>
      </c>
      <c r="Q1345" s="11"/>
      <c r="R1345" s="18"/>
      <c r="S1345" s="11"/>
      <c r="T1345" s="11"/>
      <c r="U1345" s="10" t="str">
        <f>HYPERLINK("https://pbs.twimg.com/profile_images/839207026068697089/JjPJPgPM.jpg","View")</f>
        <v>View</v>
      </c>
    </row>
    <row r="1346" spans="1:21" ht="30.6">
      <c r="A1346" s="6">
        <v>43439.827777777777</v>
      </c>
      <c r="B1346" s="7" t="str">
        <f>HYPERLINK("https://twitter.com/ESPCiudadana","@ESPCiudadana")</f>
        <v>@ESPCiudadana</v>
      </c>
      <c r="C1346" s="8" t="s">
        <v>4539</v>
      </c>
      <c r="D1346" s="9" t="s">
        <v>4540</v>
      </c>
      <c r="E1346" s="10" t="str">
        <f>HYPERLINK("https://twitter.com/ESPCiudadana/status/1070390347321102336","1070390347321102336")</f>
        <v>1070390347321102336</v>
      </c>
      <c r="F1346" s="11"/>
      <c r="G1346" s="13" t="s">
        <v>4544</v>
      </c>
      <c r="H1346" s="11"/>
      <c r="I1346" s="14">
        <v>28</v>
      </c>
      <c r="J1346" s="14">
        <v>44</v>
      </c>
      <c r="K1346" s="15" t="str">
        <f>HYPERLINK("https://studio.twitter.com","Twitter Media Studio")</f>
        <v>Twitter Media Studio</v>
      </c>
      <c r="L1346" s="14">
        <v>19276</v>
      </c>
      <c r="M1346" s="14">
        <v>52</v>
      </c>
      <c r="N1346" s="14">
        <v>107</v>
      </c>
      <c r="O1346" s="19" t="s">
        <v>42</v>
      </c>
      <c r="P1346" s="6">
        <v>42754.738634259258</v>
      </c>
      <c r="Q1346" s="12" t="s">
        <v>137</v>
      </c>
      <c r="R1346" s="17" t="s">
        <v>4547</v>
      </c>
      <c r="S1346" s="13" t="s">
        <v>4548</v>
      </c>
      <c r="T1346" s="11"/>
      <c r="U1346" s="10" t="str">
        <f>HYPERLINK("https://pbs.twimg.com/profile_images/998543974192238593/NBRL1Kk6.jpg","View")</f>
        <v>View</v>
      </c>
    </row>
    <row r="1347" spans="1:21" ht="51">
      <c r="A1347" s="6">
        <v>43439.826180555552</v>
      </c>
      <c r="B1347" s="7" t="str">
        <f>HYPERLINK("https://twitter.com/RafaelGarciaLAF","@RafaelGarciaLAF")</f>
        <v>@RafaelGarciaLAF</v>
      </c>
      <c r="C1347" s="8" t="s">
        <v>5405</v>
      </c>
      <c r="D1347" s="9" t="s">
        <v>5406</v>
      </c>
      <c r="E1347" s="10" t="str">
        <f>HYPERLINK("https://twitter.com/RafaelGarciaLAF/status/1070389769497137152","1070389769497137152")</f>
        <v>1070389769497137152</v>
      </c>
      <c r="F1347" s="13" t="s">
        <v>5407</v>
      </c>
      <c r="G1347" s="11"/>
      <c r="H1347" s="11"/>
      <c r="I1347" s="14">
        <v>1</v>
      </c>
      <c r="J1347" s="14">
        <v>3</v>
      </c>
      <c r="K1347" s="15" t="str">
        <f>HYPERLINK("http://twitter.com","Twitter Web Client")</f>
        <v>Twitter Web Client</v>
      </c>
      <c r="L1347" s="14">
        <v>663</v>
      </c>
      <c r="M1347" s="14">
        <v>1750</v>
      </c>
      <c r="N1347" s="14">
        <v>0</v>
      </c>
      <c r="O1347" s="16"/>
      <c r="P1347" s="6">
        <v>43278.836412037039</v>
      </c>
      <c r="Q1347" s="12" t="s">
        <v>187</v>
      </c>
      <c r="R1347" s="17" t="s">
        <v>5408</v>
      </c>
      <c r="S1347" s="13" t="s">
        <v>5409</v>
      </c>
      <c r="T1347" s="11"/>
      <c r="U1347" s="10" t="str">
        <f>HYPERLINK("https://pbs.twimg.com/profile_images/1062793039175974912/DA7BOVNV.jpg","View")</f>
        <v>View</v>
      </c>
    </row>
    <row r="1348" spans="1:21" ht="40.799999999999997">
      <c r="A1348" s="6">
        <v>43439.825879629629</v>
      </c>
      <c r="B1348" s="7" t="str">
        <f>HYPERLINK("https://twitter.com/jcbermejort","@jcbermejort")</f>
        <v>@jcbermejort</v>
      </c>
      <c r="C1348" s="8" t="s">
        <v>4552</v>
      </c>
      <c r="D1348" s="9" t="s">
        <v>4553</v>
      </c>
      <c r="E1348" s="10" t="str">
        <f>HYPERLINK("https://twitter.com/jcbermejort/status/1070389659761553408","1070389659761553408")</f>
        <v>1070389659761553408</v>
      </c>
      <c r="F1348" s="11"/>
      <c r="G1348" s="11"/>
      <c r="H1348" s="11"/>
      <c r="I1348" s="14">
        <v>20</v>
      </c>
      <c r="J1348" s="14">
        <v>38</v>
      </c>
      <c r="K1348" s="15" t="str">
        <f>HYPERLINK("http://twitter.com/download/android","Twitter for Android")</f>
        <v>Twitter for Android</v>
      </c>
      <c r="L1348" s="14">
        <v>2276</v>
      </c>
      <c r="M1348" s="14">
        <v>30</v>
      </c>
      <c r="N1348" s="14">
        <v>37</v>
      </c>
      <c r="O1348" s="16"/>
      <c r="P1348" s="6">
        <v>41873.128055555557</v>
      </c>
      <c r="Q1348" s="12" t="s">
        <v>4559</v>
      </c>
      <c r="R1348" s="17" t="s">
        <v>4560</v>
      </c>
      <c r="S1348" s="13" t="s">
        <v>4561</v>
      </c>
      <c r="T1348" s="11"/>
      <c r="U1348" s="10" t="str">
        <f>HYPERLINK("https://pbs.twimg.com/profile_images/1063876505439211520/r-alqO47.jpg","View")</f>
        <v>View</v>
      </c>
    </row>
    <row r="1349" spans="1:21" ht="40.799999999999997">
      <c r="A1349" s="6">
        <v>43439.825520833328</v>
      </c>
      <c r="B1349" s="7" t="str">
        <f>HYPERLINK("https://twitter.com/rsjaldon","@rsjaldon")</f>
        <v>@rsjaldon</v>
      </c>
      <c r="C1349" s="8" t="s">
        <v>5410</v>
      </c>
      <c r="D1349" s="9" t="s">
        <v>5411</v>
      </c>
      <c r="E1349" s="10" t="str">
        <f>HYPERLINK("https://twitter.com/rsjaldon/status/1070389531151609856","1070389531151609856")</f>
        <v>1070389531151609856</v>
      </c>
      <c r="F1349" s="11"/>
      <c r="G1349" s="13" t="s">
        <v>5412</v>
      </c>
      <c r="H1349" s="11"/>
      <c r="I1349" s="14">
        <v>0</v>
      </c>
      <c r="J1349" s="14">
        <v>0</v>
      </c>
      <c r="K1349" s="15" t="str">
        <f t="shared" ref="K1349:K1350" si="278">HYPERLINK("http://twitter.com","Twitter Web Client")</f>
        <v>Twitter Web Client</v>
      </c>
      <c r="L1349" s="14">
        <v>2</v>
      </c>
      <c r="M1349" s="14">
        <v>11</v>
      </c>
      <c r="N1349" s="14">
        <v>0</v>
      </c>
      <c r="O1349" s="16"/>
      <c r="P1349" s="6">
        <v>41254.775370370371</v>
      </c>
      <c r="Q1349" s="11"/>
      <c r="R1349" s="18"/>
      <c r="S1349" s="11"/>
      <c r="T1349" s="11"/>
      <c r="U1349" s="10" t="str">
        <f>HYPERLINK("https://pbs.twimg.com/profile_images/1036582721483694080/cUDhWcUk.jpg","View")</f>
        <v>View</v>
      </c>
    </row>
    <row r="1350" spans="1:21" ht="40.799999999999997">
      <c r="A1350" s="6">
        <v>43439.823599537034</v>
      </c>
      <c r="B1350" s="7" t="str">
        <f>HYPERLINK("https://twitter.com/PepeWilliamMunn","@PepeWilliamMunn")</f>
        <v>@PepeWilliamMunn</v>
      </c>
      <c r="C1350" s="8" t="s">
        <v>4566</v>
      </c>
      <c r="D1350" s="9" t="s">
        <v>4567</v>
      </c>
      <c r="E1350" s="10" t="str">
        <f>HYPERLINK("https://twitter.com/PepeWilliamMunn/status/1070388834427461632","1070388834427461632")</f>
        <v>1070388834427461632</v>
      </c>
      <c r="F1350" s="11"/>
      <c r="G1350" s="11"/>
      <c r="H1350" s="11"/>
      <c r="I1350" s="14">
        <v>0</v>
      </c>
      <c r="J1350" s="14">
        <v>0</v>
      </c>
      <c r="K1350" s="15" t="str">
        <f t="shared" si="278"/>
        <v>Twitter Web Client</v>
      </c>
      <c r="L1350" s="14">
        <v>4142</v>
      </c>
      <c r="M1350" s="14">
        <v>4006</v>
      </c>
      <c r="N1350" s="14">
        <v>52</v>
      </c>
      <c r="O1350" s="16"/>
      <c r="P1350" s="6">
        <v>40870.462893518517</v>
      </c>
      <c r="Q1350" s="12" t="s">
        <v>137</v>
      </c>
      <c r="R1350" s="17" t="s">
        <v>4568</v>
      </c>
      <c r="S1350" s="13" t="s">
        <v>4569</v>
      </c>
      <c r="T1350" s="11"/>
      <c r="U1350" s="10" t="str">
        <f>HYPERLINK("https://pbs.twimg.com/profile_images/2870078327/2112ed271f1263253afafb4fb04f9722.jpeg","View")</f>
        <v>View</v>
      </c>
    </row>
    <row r="1351" spans="1:21" ht="30.6">
      <c r="A1351" s="6">
        <v>43439.822916666672</v>
      </c>
      <c r="B1351" s="7" t="str">
        <f>HYPERLINK("https://twitter.com/cronicaglobal","@cronicaglobal")</f>
        <v>@cronicaglobal</v>
      </c>
      <c r="C1351" s="8" t="s">
        <v>5420</v>
      </c>
      <c r="D1351" s="9" t="s">
        <v>5421</v>
      </c>
      <c r="E1351" s="10" t="str">
        <f>HYPERLINK("https://twitter.com/cronicaglobal/status/1070388585860382720","1070388585860382720")</f>
        <v>1070388585860382720</v>
      </c>
      <c r="F1351" s="13" t="s">
        <v>5422</v>
      </c>
      <c r="G1351" s="13" t="s">
        <v>5423</v>
      </c>
      <c r="H1351" s="11"/>
      <c r="I1351" s="14">
        <v>2</v>
      </c>
      <c r="J1351" s="14">
        <v>0</v>
      </c>
      <c r="K1351" s="15" t="str">
        <f>HYPERLINK("https://about.twitter.com/products/tweetdeck","TweetDeck")</f>
        <v>TweetDeck</v>
      </c>
      <c r="L1351" s="14">
        <v>31070</v>
      </c>
      <c r="M1351" s="14">
        <v>12168</v>
      </c>
      <c r="N1351" s="14">
        <v>742</v>
      </c>
      <c r="O1351" s="19" t="s">
        <v>42</v>
      </c>
      <c r="P1351" s="6">
        <v>40095.536770833336</v>
      </c>
      <c r="Q1351" s="12" t="s">
        <v>83</v>
      </c>
      <c r="R1351" s="17" t="s">
        <v>5426</v>
      </c>
      <c r="S1351" s="13" t="s">
        <v>5427</v>
      </c>
      <c r="T1351" s="11"/>
      <c r="U1351" s="10" t="str">
        <f>HYPERLINK("https://pbs.twimg.com/profile_images/950307027389165573/hJwYO6Bw.jpg","View")</f>
        <v>View</v>
      </c>
    </row>
    <row r="1352" spans="1:21" ht="51">
      <c r="A1352" s="6">
        <v>43439.822812500002</v>
      </c>
      <c r="B1352" s="7" t="str">
        <f>HYPERLINK("https://twitter.com/JoseLui43872588","@JoseLui43872588")</f>
        <v>@JoseLui43872588</v>
      </c>
      <c r="C1352" s="8" t="s">
        <v>765</v>
      </c>
      <c r="D1352" s="9" t="s">
        <v>5430</v>
      </c>
      <c r="E1352" s="10" t="str">
        <f>HYPERLINK("https://twitter.com/JoseLui43872588/status/1070388549076336641","1070388549076336641")</f>
        <v>1070388549076336641</v>
      </c>
      <c r="F1352" s="11"/>
      <c r="G1352" s="11"/>
      <c r="H1352" s="11"/>
      <c r="I1352" s="14">
        <v>1</v>
      </c>
      <c r="J1352" s="14">
        <v>0</v>
      </c>
      <c r="K1352" s="15" t="str">
        <f t="shared" ref="K1352:K1355" si="279">HYPERLINK("http://twitter.com/download/android","Twitter for Android")</f>
        <v>Twitter for Android</v>
      </c>
      <c r="L1352" s="14">
        <v>518</v>
      </c>
      <c r="M1352" s="14">
        <v>129</v>
      </c>
      <c r="N1352" s="14">
        <v>7</v>
      </c>
      <c r="O1352" s="16"/>
      <c r="P1352" s="6">
        <v>42705.999224537038</v>
      </c>
      <c r="Q1352" s="12" t="s">
        <v>35</v>
      </c>
      <c r="R1352" s="17" t="s">
        <v>5432</v>
      </c>
      <c r="S1352" s="11"/>
      <c r="T1352" s="11"/>
      <c r="U1352" s="10" t="str">
        <f>HYPERLINK("https://pbs.twimg.com/profile_images/1009872713064820737/I4zrX8RR.jpg","View")</f>
        <v>View</v>
      </c>
    </row>
    <row r="1353" spans="1:21" ht="51">
      <c r="A1353" s="6">
        <v>43439.82230324074</v>
      </c>
      <c r="B1353" s="7" t="str">
        <f>HYPERLINK("https://twitter.com/MaeseLeiva","@MaeseLeiva")</f>
        <v>@MaeseLeiva</v>
      </c>
      <c r="C1353" s="8" t="s">
        <v>2757</v>
      </c>
      <c r="D1353" s="9" t="s">
        <v>4573</v>
      </c>
      <c r="E1353" s="10" t="str">
        <f>HYPERLINK("https://twitter.com/MaeseLeiva/status/1070388365672022016","1070388365672022016")</f>
        <v>1070388365672022016</v>
      </c>
      <c r="F1353" s="13" t="s">
        <v>4577</v>
      </c>
      <c r="G1353" s="11"/>
      <c r="H1353" s="11"/>
      <c r="I1353" s="14">
        <v>1</v>
      </c>
      <c r="J1353" s="14">
        <v>2</v>
      </c>
      <c r="K1353" s="15" t="str">
        <f t="shared" si="279"/>
        <v>Twitter for Android</v>
      </c>
      <c r="L1353" s="14">
        <v>207</v>
      </c>
      <c r="M1353" s="14">
        <v>740</v>
      </c>
      <c r="N1353" s="14">
        <v>1</v>
      </c>
      <c r="O1353" s="16"/>
      <c r="P1353" s="6">
        <v>40594.823287037041</v>
      </c>
      <c r="Q1353" s="12" t="s">
        <v>83</v>
      </c>
      <c r="R1353" s="18"/>
      <c r="S1353" s="11"/>
      <c r="T1353" s="11"/>
      <c r="U1353" s="10" t="str">
        <f>HYPERLINK("https://pbs.twimg.com/profile_images/1294529338/Perfil.jpg","View")</f>
        <v>View</v>
      </c>
    </row>
    <row r="1354" spans="1:21" ht="51">
      <c r="A1354" s="6">
        <v>43439.822245370371</v>
      </c>
      <c r="B1354" s="7" t="str">
        <f>HYPERLINK("https://twitter.com/Nanchinho","@Nanchinho")</f>
        <v>@Nanchinho</v>
      </c>
      <c r="C1354" s="8" t="s">
        <v>4578</v>
      </c>
      <c r="D1354" s="9" t="s">
        <v>4579</v>
      </c>
      <c r="E1354" s="10" t="str">
        <f>HYPERLINK("https://twitter.com/Nanchinho/status/1070388342808809472","1070388342808809472")</f>
        <v>1070388342808809472</v>
      </c>
      <c r="F1354" s="11"/>
      <c r="G1354" s="13" t="s">
        <v>4580</v>
      </c>
      <c r="H1354" s="11"/>
      <c r="I1354" s="14">
        <v>219</v>
      </c>
      <c r="J1354" s="14">
        <v>232</v>
      </c>
      <c r="K1354" s="15" t="str">
        <f t="shared" si="279"/>
        <v>Twitter for Android</v>
      </c>
      <c r="L1354" s="14">
        <v>21318</v>
      </c>
      <c r="M1354" s="14">
        <v>353</v>
      </c>
      <c r="N1354" s="14">
        <v>187</v>
      </c>
      <c r="O1354" s="16"/>
      <c r="P1354" s="6">
        <v>41937.971898148149</v>
      </c>
      <c r="Q1354" s="12" t="s">
        <v>4581</v>
      </c>
      <c r="R1354" s="17" t="s">
        <v>4583</v>
      </c>
      <c r="S1354" s="11"/>
      <c r="T1354" s="11"/>
      <c r="U1354" s="10" t="str">
        <f>HYPERLINK("https://pbs.twimg.com/profile_images/1070088953854865408/phiiKx7l.jpg","View")</f>
        <v>View</v>
      </c>
    </row>
    <row r="1355" spans="1:21" ht="40.799999999999997">
      <c r="A1355" s="6">
        <v>43439.820358796293</v>
      </c>
      <c r="B1355" s="7" t="str">
        <f>HYPERLINK("https://twitter.com/ErnestoEkaizer","@ErnestoEkaizer")</f>
        <v>@ErnestoEkaizer</v>
      </c>
      <c r="C1355" s="8" t="s">
        <v>5440</v>
      </c>
      <c r="D1355" s="9" t="s">
        <v>5441</v>
      </c>
      <c r="E1355" s="10" t="str">
        <f>HYPERLINK("https://twitter.com/ErnestoEkaizer/status/1070387659296653312","1070387659296653312")</f>
        <v>1070387659296653312</v>
      </c>
      <c r="F1355" s="13" t="s">
        <v>4135</v>
      </c>
      <c r="G1355" s="11"/>
      <c r="H1355" s="11"/>
      <c r="I1355" s="14">
        <v>53</v>
      </c>
      <c r="J1355" s="14">
        <v>30</v>
      </c>
      <c r="K1355" s="15" t="str">
        <f t="shared" si="279"/>
        <v>Twitter for Android</v>
      </c>
      <c r="L1355" s="14">
        <v>192548</v>
      </c>
      <c r="M1355" s="14">
        <v>77</v>
      </c>
      <c r="N1355" s="14">
        <v>1640</v>
      </c>
      <c r="O1355" s="16"/>
      <c r="P1355" s="6">
        <v>41926.879976851851</v>
      </c>
      <c r="Q1355" s="12" t="s">
        <v>29</v>
      </c>
      <c r="R1355" s="17" t="s">
        <v>5445</v>
      </c>
      <c r="S1355" s="11"/>
      <c r="T1355" s="11"/>
      <c r="U1355" s="10" t="str">
        <f>HYPERLINK("https://pbs.twimg.com/profile_images/636954162723430400/5M4mqZzN.jpg","View")</f>
        <v>View</v>
      </c>
    </row>
    <row r="1356" spans="1:21" ht="20.399999999999999">
      <c r="A1356" s="6">
        <v>43439.819849537038</v>
      </c>
      <c r="B1356" s="7" t="str">
        <f>HYPERLINK("https://twitter.com/110010010011010","@110010010011010")</f>
        <v>@110010010011010</v>
      </c>
      <c r="C1356" s="8" t="s">
        <v>5448</v>
      </c>
      <c r="D1356" s="9" t="s">
        <v>5449</v>
      </c>
      <c r="E1356" s="10" t="str">
        <f>HYPERLINK("https://twitter.com/110010010011010/status/1070387475686805504","1070387475686805504")</f>
        <v>1070387475686805504</v>
      </c>
      <c r="F1356" s="11"/>
      <c r="G1356" s="13" t="s">
        <v>5450</v>
      </c>
      <c r="H1356" s="11"/>
      <c r="I1356" s="14">
        <v>1</v>
      </c>
      <c r="J1356" s="14">
        <v>0</v>
      </c>
      <c r="K1356" s="15" t="str">
        <f>HYPERLINK("https://about.twitter.com/products/tweetdeck","TweetDeck")</f>
        <v>TweetDeck</v>
      </c>
      <c r="L1356" s="14">
        <v>9565</v>
      </c>
      <c r="M1356" s="14">
        <v>1579</v>
      </c>
      <c r="N1356" s="14">
        <v>262</v>
      </c>
      <c r="O1356" s="16"/>
      <c r="P1356" s="6">
        <v>40491.697685185187</v>
      </c>
      <c r="Q1356" s="12" t="s">
        <v>5453</v>
      </c>
      <c r="R1356" s="17" t="s">
        <v>5454</v>
      </c>
      <c r="S1356" s="11"/>
      <c r="T1356" s="11"/>
      <c r="U1356" s="10" t="str">
        <f>HYPERLINK("https://pbs.twimg.com/profile_images/1059042232492285952/qfOsejX9.jpg","View")</f>
        <v>View</v>
      </c>
    </row>
    <row r="1357" spans="1:21" ht="13.2">
      <c r="A1357" s="6">
        <v>43439.819409722222</v>
      </c>
      <c r="B1357" s="7" t="str">
        <f>HYPERLINK("https://twitter.com/silvestrepiopio","@silvestrepiopio")</f>
        <v>@silvestrepiopio</v>
      </c>
      <c r="C1357" s="8" t="s">
        <v>4586</v>
      </c>
      <c r="D1357" s="9" t="s">
        <v>4587</v>
      </c>
      <c r="E1357" s="10" t="str">
        <f>HYPERLINK("https://twitter.com/silvestrepiopio/status/1070387315456073730","1070387315456073730")</f>
        <v>1070387315456073730</v>
      </c>
      <c r="F1357" s="11"/>
      <c r="G1357" s="11"/>
      <c r="H1357" s="11"/>
      <c r="I1357" s="14">
        <v>0</v>
      </c>
      <c r="J1357" s="14">
        <v>0</v>
      </c>
      <c r="K1357" s="15" t="str">
        <f>HYPERLINK("http://twitter.com/download/android","Twitter for Android")</f>
        <v>Twitter for Android</v>
      </c>
      <c r="L1357" s="14">
        <v>9645</v>
      </c>
      <c r="M1357" s="14">
        <v>10405</v>
      </c>
      <c r="N1357" s="14">
        <v>188</v>
      </c>
      <c r="O1357" s="16"/>
      <c r="P1357" s="6">
        <v>41664.720578703702</v>
      </c>
      <c r="Q1357" s="11"/>
      <c r="R1357" s="18"/>
      <c r="S1357" s="11"/>
      <c r="T1357" s="11"/>
      <c r="U1357" s="10" t="str">
        <f>HYPERLINK("https://pbs.twimg.com/profile_images/666409075593371648/psDNd5lf.jpg","View")</f>
        <v>View</v>
      </c>
    </row>
    <row r="1358" spans="1:21" ht="40.799999999999997">
      <c r="A1358" s="6">
        <v>43439.819386574076</v>
      </c>
      <c r="B1358" s="7" t="str">
        <f>HYPERLINK("https://twitter.com/BCNmetropoli","@BCNmetropoli")</f>
        <v>@BCNmetropoli</v>
      </c>
      <c r="C1358" s="8" t="s">
        <v>5458</v>
      </c>
      <c r="D1358" s="9" t="s">
        <v>5459</v>
      </c>
      <c r="E1358" s="10" t="str">
        <f>HYPERLINK("https://twitter.com/BCNmetropoli/status/1070387308992610305","1070387308992610305")</f>
        <v>1070387308992610305</v>
      </c>
      <c r="F1358" s="13" t="s">
        <v>5461</v>
      </c>
      <c r="G1358" s="11"/>
      <c r="H1358" s="11"/>
      <c r="I1358" s="14">
        <v>0</v>
      </c>
      <c r="J1358" s="14">
        <v>0</v>
      </c>
      <c r="K1358" s="15" t="str">
        <f>HYPERLINK("https://www.hootsuite.com","Hootsuite Inc.")</f>
        <v>Hootsuite Inc.</v>
      </c>
      <c r="L1358" s="14">
        <v>1851</v>
      </c>
      <c r="M1358" s="14">
        <v>269</v>
      </c>
      <c r="N1358" s="14">
        <v>37</v>
      </c>
      <c r="O1358" s="16"/>
      <c r="P1358" s="6">
        <v>42739.501203703709</v>
      </c>
      <c r="Q1358" s="12" t="s">
        <v>1785</v>
      </c>
      <c r="R1358" s="17" t="s">
        <v>5463</v>
      </c>
      <c r="S1358" s="11"/>
      <c r="T1358" s="11"/>
      <c r="U1358" s="10" t="str">
        <f>HYPERLINK("https://pbs.twimg.com/profile_images/935529251977269249/bSl_nApS.jpg","View")</f>
        <v>View</v>
      </c>
    </row>
    <row r="1359" spans="1:21" ht="71.400000000000006">
      <c r="A1359" s="6">
        <v>43439.818831018521</v>
      </c>
      <c r="B1359" s="7" t="str">
        <f>HYPERLINK("https://twitter.com/kanyabel","@kanyabel")</f>
        <v>@kanyabel</v>
      </c>
      <c r="C1359" s="8" t="s">
        <v>5465</v>
      </c>
      <c r="D1359" s="9" t="s">
        <v>5466</v>
      </c>
      <c r="E1359" s="10" t="str">
        <f>HYPERLINK("https://twitter.com/kanyabel/status/1070387104134381568","1070387104134381568")</f>
        <v>1070387104134381568</v>
      </c>
      <c r="F1359" s="12" t="s">
        <v>5468</v>
      </c>
      <c r="G1359" s="11"/>
      <c r="H1359" s="11"/>
      <c r="I1359" s="14">
        <v>0</v>
      </c>
      <c r="J1359" s="14">
        <v>0</v>
      </c>
      <c r="K1359" s="15" t="str">
        <f t="shared" ref="K1359:K1360" si="280">HYPERLINK("http://twitter.com/download/android","Twitter for Android")</f>
        <v>Twitter for Android</v>
      </c>
      <c r="L1359" s="14">
        <v>852</v>
      </c>
      <c r="M1359" s="14">
        <v>738</v>
      </c>
      <c r="N1359" s="14">
        <v>57</v>
      </c>
      <c r="O1359" s="16"/>
      <c r="P1359" s="6">
        <v>40615.72991898148</v>
      </c>
      <c r="Q1359" s="12" t="s">
        <v>3435</v>
      </c>
      <c r="R1359" s="17" t="s">
        <v>5469</v>
      </c>
      <c r="S1359" s="11"/>
      <c r="T1359" s="11"/>
      <c r="U1359" s="10" t="str">
        <f>HYPERLINK("https://pbs.twimg.com/profile_images/673868423575805952/i0k4rq3Y.jpg","View")</f>
        <v>View</v>
      </c>
    </row>
    <row r="1360" spans="1:21" ht="51">
      <c r="A1360" s="6">
        <v>43439.81858796296</v>
      </c>
      <c r="B1360" s="7" t="str">
        <f>HYPERLINK("https://twitter.com/Oscar__Grouch","@Oscar__Grouch")</f>
        <v>@Oscar__Grouch</v>
      </c>
      <c r="C1360" s="8" t="s">
        <v>4593</v>
      </c>
      <c r="D1360" s="9" t="s">
        <v>4594</v>
      </c>
      <c r="E1360" s="10" t="str">
        <f>HYPERLINK("https://twitter.com/Oscar__Grouch/status/1070387019732402177","1070387019732402177")</f>
        <v>1070387019732402177</v>
      </c>
      <c r="F1360" s="11"/>
      <c r="G1360" s="11"/>
      <c r="H1360" s="11"/>
      <c r="I1360" s="14">
        <v>1</v>
      </c>
      <c r="J1360" s="14">
        <v>1</v>
      </c>
      <c r="K1360" s="15" t="str">
        <f t="shared" si="280"/>
        <v>Twitter for Android</v>
      </c>
      <c r="L1360" s="14">
        <v>658</v>
      </c>
      <c r="M1360" s="14">
        <v>757</v>
      </c>
      <c r="N1360" s="14">
        <v>5</v>
      </c>
      <c r="O1360" s="16"/>
      <c r="P1360" s="6">
        <v>40761.471932870372</v>
      </c>
      <c r="Q1360" s="12" t="s">
        <v>137</v>
      </c>
      <c r="R1360" s="17" t="s">
        <v>4595</v>
      </c>
      <c r="S1360" s="11"/>
      <c r="T1360" s="11"/>
      <c r="U1360" s="10" t="str">
        <f>HYPERLINK("https://pbs.twimg.com/profile_images/451395041445965824/t3vXwdYW.jpeg","View")</f>
        <v>View</v>
      </c>
    </row>
    <row r="1361" spans="1:21" ht="91.8">
      <c r="A1361" s="6">
        <v>43439.818240740744</v>
      </c>
      <c r="B1361" s="7" t="str">
        <f>HYPERLINK("https://twitter.com/vinalopodigital","@vinalopodigital")</f>
        <v>@vinalopodigital</v>
      </c>
      <c r="C1361" s="8" t="s">
        <v>5471</v>
      </c>
      <c r="D1361" s="9" t="s">
        <v>5472</v>
      </c>
      <c r="E1361" s="10" t="str">
        <f>HYPERLINK("https://twitter.com/vinalopodigital/status/1070386890120007686","1070386890120007686")</f>
        <v>1070386890120007686</v>
      </c>
      <c r="F1361" s="13" t="s">
        <v>5473</v>
      </c>
      <c r="G1361" s="13" t="s">
        <v>5475</v>
      </c>
      <c r="H1361" s="11"/>
      <c r="I1361" s="14">
        <v>0</v>
      </c>
      <c r="J1361" s="14">
        <v>0</v>
      </c>
      <c r="K1361" s="15" t="str">
        <f>HYPERLINK("http://www.facebook.com/twitter","Facebook")</f>
        <v>Facebook</v>
      </c>
      <c r="L1361" s="14">
        <v>341</v>
      </c>
      <c r="M1361" s="14">
        <v>1064</v>
      </c>
      <c r="N1361" s="14">
        <v>10</v>
      </c>
      <c r="O1361" s="16"/>
      <c r="P1361" s="6">
        <v>39985.399305555555</v>
      </c>
      <c r="Q1361" s="12" t="s">
        <v>5477</v>
      </c>
      <c r="R1361" s="17" t="s">
        <v>5479</v>
      </c>
      <c r="S1361" s="13" t="s">
        <v>5480</v>
      </c>
      <c r="T1361" s="11"/>
      <c r="U1361" s="10" t="str">
        <f>HYPERLINK("https://pbs.twimg.com/profile_images/952997621819375618/6b4YhObB.jpg","View")</f>
        <v>View</v>
      </c>
    </row>
    <row r="1362" spans="1:21" ht="40.799999999999997">
      <c r="A1362" s="6">
        <v>43439.817928240736</v>
      </c>
      <c r="B1362" s="7" t="str">
        <f>HYPERLINK("https://twitter.com/favimontejode","@favimontejode")</f>
        <v>@favimontejode</v>
      </c>
      <c r="C1362" s="8" t="s">
        <v>4598</v>
      </c>
      <c r="D1362" s="9" t="s">
        <v>4599</v>
      </c>
      <c r="E1362" s="10" t="str">
        <f>HYPERLINK("https://twitter.com/favimontejode/status/1070386779562360834","1070386779562360834")</f>
        <v>1070386779562360834</v>
      </c>
      <c r="F1362" s="11"/>
      <c r="G1362" s="11"/>
      <c r="H1362" s="11"/>
      <c r="I1362" s="14">
        <v>4</v>
      </c>
      <c r="J1362" s="14">
        <v>6</v>
      </c>
      <c r="K1362" s="15" t="str">
        <f>HYPERLINK("http://twitter.com","Twitter Web Client")</f>
        <v>Twitter Web Client</v>
      </c>
      <c r="L1362" s="14">
        <v>177</v>
      </c>
      <c r="M1362" s="14">
        <v>589</v>
      </c>
      <c r="N1362" s="14">
        <v>2</v>
      </c>
      <c r="O1362" s="16"/>
      <c r="P1362" s="6">
        <v>42941.533668981487</v>
      </c>
      <c r="Q1362" s="11"/>
      <c r="R1362" s="18"/>
      <c r="S1362" s="11"/>
      <c r="T1362" s="11"/>
      <c r="U1362" s="10" t="str">
        <f>HYPERLINK("https://pbs.twimg.com/profile_images/1019641569631227904/wFsFgt4M.jpg","View")</f>
        <v>View</v>
      </c>
    </row>
    <row r="1363" spans="1:21" ht="91.8">
      <c r="A1363" s="6">
        <v>43439.817337962959</v>
      </c>
      <c r="B1363" s="7" t="str">
        <f>HYPERLINK("https://twitter.com/carapipa71","@carapipa71")</f>
        <v>@carapipa71</v>
      </c>
      <c r="C1363" s="8" t="s">
        <v>3703</v>
      </c>
      <c r="D1363" s="9" t="s">
        <v>5483</v>
      </c>
      <c r="E1363" s="10" t="str">
        <f>HYPERLINK("https://twitter.com/carapipa71/status/1070386564818235392","1070386564818235392")</f>
        <v>1070386564818235392</v>
      </c>
      <c r="F1363" s="13" t="s">
        <v>3908</v>
      </c>
      <c r="G1363" s="13" t="s">
        <v>3911</v>
      </c>
      <c r="H1363" s="11"/>
      <c r="I1363" s="14">
        <v>3</v>
      </c>
      <c r="J1363" s="14">
        <v>3</v>
      </c>
      <c r="K1363" s="15" t="str">
        <f>HYPERLINK("http://twitter.com/download/android","Twitter for Android")</f>
        <v>Twitter for Android</v>
      </c>
      <c r="L1363" s="14">
        <v>100</v>
      </c>
      <c r="M1363" s="14">
        <v>165</v>
      </c>
      <c r="N1363" s="14">
        <v>0</v>
      </c>
      <c r="O1363" s="16"/>
      <c r="P1363" s="6">
        <v>41330.096539351856</v>
      </c>
      <c r="Q1363" s="12" t="s">
        <v>3707</v>
      </c>
      <c r="R1363" s="17" t="s">
        <v>3708</v>
      </c>
      <c r="S1363" s="11"/>
      <c r="T1363" s="11"/>
      <c r="U1363" s="10" t="str">
        <f>HYPERLINK("https://pbs.twimg.com/profile_images/1048720316992827392/8WdaHPsq.jpg","View")</f>
        <v>View</v>
      </c>
    </row>
    <row r="1364" spans="1:21" ht="40.799999999999997">
      <c r="A1364" s="6">
        <v>43439.816261574073</v>
      </c>
      <c r="B1364" s="7" t="str">
        <f>HYPERLINK("https://twitter.com/CiudadanosCs","@CiudadanosCs")</f>
        <v>@CiudadanosCs</v>
      </c>
      <c r="C1364" s="8" t="s">
        <v>489</v>
      </c>
      <c r="D1364" s="9" t="s">
        <v>4604</v>
      </c>
      <c r="E1364" s="10" t="str">
        <f>HYPERLINK("https://twitter.com/CiudadanosCs/status/1070386174638858240","1070386174638858240")</f>
        <v>1070386174638858240</v>
      </c>
      <c r="F1364" s="13" t="s">
        <v>4607</v>
      </c>
      <c r="G1364" s="11"/>
      <c r="H1364" s="11"/>
      <c r="I1364" s="14">
        <v>26</v>
      </c>
      <c r="J1364" s="14">
        <v>31</v>
      </c>
      <c r="K1364" s="15" t="str">
        <f>HYPERLINK("http://twitter.com","Twitter Web Client")</f>
        <v>Twitter Web Client</v>
      </c>
      <c r="L1364" s="14">
        <v>490821</v>
      </c>
      <c r="M1364" s="14">
        <v>93557</v>
      </c>
      <c r="N1364" s="14">
        <v>3338</v>
      </c>
      <c r="O1364" s="19" t="s">
        <v>42</v>
      </c>
      <c r="P1364" s="6">
        <v>39828.753460648149</v>
      </c>
      <c r="Q1364" s="12" t="s">
        <v>137</v>
      </c>
      <c r="R1364" s="17" t="s">
        <v>492</v>
      </c>
      <c r="S1364" s="13" t="s">
        <v>493</v>
      </c>
      <c r="T1364" s="11"/>
      <c r="U1364" s="10" t="str">
        <f>HYPERLINK("https://pbs.twimg.com/profile_images/1053554096161075200/1z77_zBZ.jpg","View")</f>
        <v>View</v>
      </c>
    </row>
    <row r="1365" spans="1:21" ht="40.799999999999997">
      <c r="A1365" s="6">
        <v>43439.816087962958</v>
      </c>
      <c r="B1365" s="7" t="str">
        <f>HYPERLINK("https://twitter.com/ErnestoEkaizer","@ErnestoEkaizer")</f>
        <v>@ErnestoEkaizer</v>
      </c>
      <c r="C1365" s="8" t="s">
        <v>5440</v>
      </c>
      <c r="D1365" s="9" t="s">
        <v>5488</v>
      </c>
      <c r="E1365" s="10" t="str">
        <f>HYPERLINK("https://twitter.com/ErnestoEkaizer/status/1070386110625431552","1070386110625431552")</f>
        <v>1070386110625431552</v>
      </c>
      <c r="F1365" s="13" t="s">
        <v>5490</v>
      </c>
      <c r="G1365" s="11"/>
      <c r="H1365" s="11"/>
      <c r="I1365" s="14">
        <v>1457</v>
      </c>
      <c r="J1365" s="14">
        <v>2715</v>
      </c>
      <c r="K1365" s="15" t="str">
        <f>HYPERLINK("http://twitter.com/download/android","Twitter for Android")</f>
        <v>Twitter for Android</v>
      </c>
      <c r="L1365" s="14">
        <v>192548</v>
      </c>
      <c r="M1365" s="14">
        <v>77</v>
      </c>
      <c r="N1365" s="14">
        <v>1640</v>
      </c>
      <c r="O1365" s="16"/>
      <c r="P1365" s="6">
        <v>41926.879976851851</v>
      </c>
      <c r="Q1365" s="12" t="s">
        <v>29</v>
      </c>
      <c r="R1365" s="17" t="s">
        <v>5445</v>
      </c>
      <c r="S1365" s="11"/>
      <c r="T1365" s="11"/>
      <c r="U1365" s="10" t="str">
        <f>HYPERLINK("https://pbs.twimg.com/profile_images/636954162723430400/5M4mqZzN.jpg","View")</f>
        <v>View</v>
      </c>
    </row>
    <row r="1366" spans="1:21" ht="20.399999999999999">
      <c r="A1366" s="6">
        <v>43439.813206018516</v>
      </c>
      <c r="B1366" s="7" t="str">
        <f>HYPERLINK("https://twitter.com/Belda1954","@Belda1954")</f>
        <v>@Belda1954</v>
      </c>
      <c r="C1366" s="8" t="s">
        <v>5493</v>
      </c>
      <c r="D1366" s="9" t="s">
        <v>3290</v>
      </c>
      <c r="E1366" s="10" t="str">
        <f>HYPERLINK("https://twitter.com/Belda1954/status/1070385067770503168","1070385067770503168")</f>
        <v>1070385067770503168</v>
      </c>
      <c r="F1366" s="13" t="s">
        <v>5494</v>
      </c>
      <c r="G1366" s="11"/>
      <c r="H1366" s="11"/>
      <c r="I1366" s="14">
        <v>0</v>
      </c>
      <c r="J1366" s="14">
        <v>0</v>
      </c>
      <c r="K1366" s="15" t="str">
        <f>HYPERLINK("http://twitter.com","Twitter Web Client")</f>
        <v>Twitter Web Client</v>
      </c>
      <c r="L1366" s="14">
        <v>340</v>
      </c>
      <c r="M1366" s="14">
        <v>1035</v>
      </c>
      <c r="N1366" s="14">
        <v>7</v>
      </c>
      <c r="O1366" s="16"/>
      <c r="P1366" s="6">
        <v>40445.780740740738</v>
      </c>
      <c r="Q1366" s="12" t="s">
        <v>137</v>
      </c>
      <c r="R1366" s="17" t="s">
        <v>5495</v>
      </c>
      <c r="S1366" s="11"/>
      <c r="T1366" s="11"/>
      <c r="U1366" s="10" t="str">
        <f>HYPERLINK("https://pbs.twimg.com/profile_images/760042410126737408/0vT_CbAN.jpg","View")</f>
        <v>View</v>
      </c>
    </row>
    <row r="1367" spans="1:21" ht="40.799999999999997">
      <c r="A1367" s="6">
        <v>43439.812592592592</v>
      </c>
      <c r="B1367" s="7" t="str">
        <f>HYPERLINK("https://twitter.com/PBDcc","@PBDcc")</f>
        <v>@PBDcc</v>
      </c>
      <c r="C1367" s="8" t="s">
        <v>4613</v>
      </c>
      <c r="D1367" s="9" t="s">
        <v>4614</v>
      </c>
      <c r="E1367" s="10" t="str">
        <f>HYPERLINK("https://twitter.com/PBDcc/status/1070384846135091205","1070384846135091205")</f>
        <v>1070384846135091205</v>
      </c>
      <c r="F1367" s="11"/>
      <c r="G1367" s="11"/>
      <c r="H1367" s="11"/>
      <c r="I1367" s="14">
        <v>1</v>
      </c>
      <c r="J1367" s="14">
        <v>4</v>
      </c>
      <c r="K1367" s="15" t="str">
        <f>HYPERLINK("http://twitter.com/download/android","Twitter for Android")</f>
        <v>Twitter for Android</v>
      </c>
      <c r="L1367" s="14">
        <v>1682</v>
      </c>
      <c r="M1367" s="14">
        <v>608</v>
      </c>
      <c r="N1367" s="14">
        <v>46</v>
      </c>
      <c r="O1367" s="16"/>
      <c r="P1367" s="6">
        <v>40130.887326388889</v>
      </c>
      <c r="Q1367" s="12" t="s">
        <v>4617</v>
      </c>
      <c r="R1367" s="17" t="s">
        <v>4618</v>
      </c>
      <c r="S1367" s="13" t="s">
        <v>4620</v>
      </c>
      <c r="T1367" s="11"/>
      <c r="U1367" s="10" t="str">
        <f>HYPERLINK("https://pbs.twimg.com/profile_images/1022188904949141504/_OMw4i7a.jpg","View")</f>
        <v>View</v>
      </c>
    </row>
    <row r="1368" spans="1:21" ht="40.799999999999997">
      <c r="A1368" s="6">
        <v>43439.812326388885</v>
      </c>
      <c r="B1368" s="7" t="str">
        <f>HYPERLINK("https://twitter.com/PartidoRepEs","@PartidoRepEs")</f>
        <v>@PartidoRepEs</v>
      </c>
      <c r="C1368" s="8" t="s">
        <v>519</v>
      </c>
      <c r="D1368" s="9" t="s">
        <v>5498</v>
      </c>
      <c r="E1368" s="10" t="str">
        <f>HYPERLINK("https://twitter.com/PartidoRepEs/status/1070384747707334657","1070384747707334657")</f>
        <v>1070384747707334657</v>
      </c>
      <c r="F1368" s="13" t="s">
        <v>5499</v>
      </c>
      <c r="G1368" s="11"/>
      <c r="H1368" s="11"/>
      <c r="I1368" s="14">
        <v>0</v>
      </c>
      <c r="J1368" s="14">
        <v>0</v>
      </c>
      <c r="K1368" s="15" t="str">
        <f t="shared" ref="K1368:K1370" si="281">HYPERLINK("http://twitter.com","Twitter Web Client")</f>
        <v>Twitter Web Client</v>
      </c>
      <c r="L1368" s="14">
        <v>4366</v>
      </c>
      <c r="M1368" s="14">
        <v>4993</v>
      </c>
      <c r="N1368" s="14">
        <v>25</v>
      </c>
      <c r="O1368" s="16"/>
      <c r="P1368" s="6">
        <v>42183.720682870371</v>
      </c>
      <c r="Q1368" s="11"/>
      <c r="R1368" s="17" t="s">
        <v>523</v>
      </c>
      <c r="S1368" s="13" t="s">
        <v>524</v>
      </c>
      <c r="T1368" s="11"/>
      <c r="U1368" s="10" t="str">
        <f>HYPERLINK("https://pbs.twimg.com/profile_images/615180335417040901/p8IX-96B.jpg","View")</f>
        <v>View</v>
      </c>
    </row>
    <row r="1369" spans="1:21" ht="40.799999999999997">
      <c r="A1369" s="6">
        <v>43439.812175925923</v>
      </c>
      <c r="B1369" s="7" t="str">
        <f>HYPERLINK("https://twitter.com/encegir","@encegir")</f>
        <v>@encegir</v>
      </c>
      <c r="C1369" s="8" t="s">
        <v>5501</v>
      </c>
      <c r="D1369" s="9" t="s">
        <v>4065</v>
      </c>
      <c r="E1369" s="10" t="str">
        <f>HYPERLINK("https://twitter.com/encegir/status/1070384692329889792","1070384692329889792")</f>
        <v>1070384692329889792</v>
      </c>
      <c r="F1369" s="13" t="s">
        <v>3869</v>
      </c>
      <c r="G1369" s="11"/>
      <c r="H1369" s="11"/>
      <c r="I1369" s="14">
        <v>0</v>
      </c>
      <c r="J1369" s="14">
        <v>0</v>
      </c>
      <c r="K1369" s="15" t="str">
        <f t="shared" si="281"/>
        <v>Twitter Web Client</v>
      </c>
      <c r="L1369" s="14">
        <v>655</v>
      </c>
      <c r="M1369" s="14">
        <v>1024</v>
      </c>
      <c r="N1369" s="14">
        <v>5</v>
      </c>
      <c r="O1369" s="16"/>
      <c r="P1369" s="6">
        <v>40780.016458333332</v>
      </c>
      <c r="Q1369" s="12" t="s">
        <v>137</v>
      </c>
      <c r="R1369" s="17" t="s">
        <v>5503</v>
      </c>
      <c r="S1369" s="11"/>
      <c r="T1369" s="11"/>
      <c r="U1369" s="10" t="str">
        <f>HYPERLINK("https://pbs.twimg.com/profile_images/1055233107476078592/AcVFY8ec.jpg","View")</f>
        <v>View</v>
      </c>
    </row>
    <row r="1370" spans="1:21" ht="51">
      <c r="A1370" s="6">
        <v>43439.811979166669</v>
      </c>
      <c r="B1370" s="7" t="str">
        <f>HYPERLINK("https://twitter.com/EnriqueBoto","@EnriqueBoto")</f>
        <v>@EnriqueBoto</v>
      </c>
      <c r="C1370" s="8" t="s">
        <v>3819</v>
      </c>
      <c r="D1370" s="9" t="s">
        <v>4623</v>
      </c>
      <c r="E1370" s="10" t="str">
        <f>HYPERLINK("https://twitter.com/EnriqueBoto/status/1070384622691860480","1070384622691860480")</f>
        <v>1070384622691860480</v>
      </c>
      <c r="F1370" s="11"/>
      <c r="G1370" s="11"/>
      <c r="H1370" s="11"/>
      <c r="I1370" s="14">
        <v>0</v>
      </c>
      <c r="J1370" s="14">
        <v>2</v>
      </c>
      <c r="K1370" s="15" t="str">
        <f t="shared" si="281"/>
        <v>Twitter Web Client</v>
      </c>
      <c r="L1370" s="14">
        <v>1420</v>
      </c>
      <c r="M1370" s="14">
        <v>962</v>
      </c>
      <c r="N1370" s="14">
        <v>14</v>
      </c>
      <c r="O1370" s="16"/>
      <c r="P1370" s="6">
        <v>41575.47896990741</v>
      </c>
      <c r="Q1370" s="12" t="s">
        <v>3823</v>
      </c>
      <c r="R1370" s="17" t="s">
        <v>3824</v>
      </c>
      <c r="S1370" s="11"/>
      <c r="T1370" s="11"/>
      <c r="U1370" s="10" t="str">
        <f>HYPERLINK("https://pbs.twimg.com/profile_images/432673214150356992/k4dht69u.png","View")</f>
        <v>View</v>
      </c>
    </row>
    <row r="1371" spans="1:21" ht="20.399999999999999">
      <c r="A1371" s="6">
        <v>43439.811076388884</v>
      </c>
      <c r="B1371" s="7" t="str">
        <f>HYPERLINK("https://twitter.com/EroleAngel","@EroleAngel")</f>
        <v>@EroleAngel</v>
      </c>
      <c r="C1371" s="8" t="s">
        <v>5504</v>
      </c>
      <c r="D1371" s="9" t="s">
        <v>5505</v>
      </c>
      <c r="E1371" s="10" t="str">
        <f>HYPERLINK("https://twitter.com/EroleAngel/status/1070384296161132544","1070384296161132544")</f>
        <v>1070384296161132544</v>
      </c>
      <c r="F1371" s="13" t="s">
        <v>4180</v>
      </c>
      <c r="G1371" s="11"/>
      <c r="H1371" s="11"/>
      <c r="I1371" s="14">
        <v>0</v>
      </c>
      <c r="J1371" s="14">
        <v>0</v>
      </c>
      <c r="K1371" s="15" t="str">
        <f t="shared" ref="K1371:K1372" si="282">HYPERLINK("http://twitter.com/download/iphone","Twitter for iPhone")</f>
        <v>Twitter for iPhone</v>
      </c>
      <c r="L1371" s="14">
        <v>18</v>
      </c>
      <c r="M1371" s="14">
        <v>121</v>
      </c>
      <c r="N1371" s="14">
        <v>0</v>
      </c>
      <c r="O1371" s="16"/>
      <c r="P1371" s="6">
        <v>42669.853645833333</v>
      </c>
      <c r="Q1371" s="12" t="s">
        <v>5506</v>
      </c>
      <c r="R1371" s="17" t="s">
        <v>5507</v>
      </c>
      <c r="S1371" s="11"/>
      <c r="T1371" s="11"/>
      <c r="U1371" s="19" t="s">
        <v>629</v>
      </c>
    </row>
    <row r="1372" spans="1:21" ht="40.799999999999997">
      <c r="A1372" s="6">
        <v>43439.810949074075</v>
      </c>
      <c r="B1372" s="7" t="str">
        <f>HYPERLINK("https://twitter.com/Phcourtet","@Phcourtet")</f>
        <v>@Phcourtet</v>
      </c>
      <c r="C1372" s="8" t="s">
        <v>5508</v>
      </c>
      <c r="D1372" s="9" t="s">
        <v>5509</v>
      </c>
      <c r="E1372" s="10" t="str">
        <f>HYPERLINK("https://twitter.com/Phcourtet/status/1070384247414894593","1070384247414894593")</f>
        <v>1070384247414894593</v>
      </c>
      <c r="F1372" s="13" t="s">
        <v>4786</v>
      </c>
      <c r="G1372" s="11"/>
      <c r="H1372" s="11"/>
      <c r="I1372" s="14">
        <v>0</v>
      </c>
      <c r="J1372" s="14">
        <v>0</v>
      </c>
      <c r="K1372" s="15" t="str">
        <f t="shared" si="282"/>
        <v>Twitter for iPhone</v>
      </c>
      <c r="L1372" s="14">
        <v>443</v>
      </c>
      <c r="M1372" s="14">
        <v>227</v>
      </c>
      <c r="N1372" s="14">
        <v>42</v>
      </c>
      <c r="O1372" s="16"/>
      <c r="P1372" s="6">
        <v>42596.714201388888</v>
      </c>
      <c r="Q1372" s="11"/>
      <c r="R1372" s="17" t="s">
        <v>5511</v>
      </c>
      <c r="S1372" s="11"/>
      <c r="T1372" s="11"/>
      <c r="U1372" s="10" t="str">
        <f>HYPERLINK("https://pbs.twimg.com/profile_images/990305227478851585/snE-VeNZ.jpg","View")</f>
        <v>View</v>
      </c>
    </row>
    <row r="1373" spans="1:21" ht="51">
      <c r="A1373" s="6">
        <v>43439.81077546296</v>
      </c>
      <c r="B1373" s="7" t="str">
        <f>HYPERLINK("https://twitter.com/FranTheJam","@FranTheJam")</f>
        <v>@FranTheJam</v>
      </c>
      <c r="C1373" s="8" t="s">
        <v>5512</v>
      </c>
      <c r="D1373" s="9" t="s">
        <v>5513</v>
      </c>
      <c r="E1373" s="10" t="str">
        <f>HYPERLINK("https://twitter.com/FranTheJam/status/1070384185305636865","1070384185305636865")</f>
        <v>1070384185305636865</v>
      </c>
      <c r="F1373" s="11"/>
      <c r="G1373" s="11"/>
      <c r="H1373" s="11"/>
      <c r="I1373" s="14">
        <v>0</v>
      </c>
      <c r="J1373" s="14">
        <v>0</v>
      </c>
      <c r="K1373" s="15" t="str">
        <f t="shared" ref="K1373:K1374" si="283">HYPERLINK("http://twitter.com/download/android","Twitter for Android")</f>
        <v>Twitter for Android</v>
      </c>
      <c r="L1373" s="14">
        <v>231</v>
      </c>
      <c r="M1373" s="14">
        <v>178</v>
      </c>
      <c r="N1373" s="14">
        <v>4</v>
      </c>
      <c r="O1373" s="16"/>
      <c r="P1373" s="6">
        <v>40518.061180555553</v>
      </c>
      <c r="Q1373" s="12" t="s">
        <v>5514</v>
      </c>
      <c r="R1373" s="17" t="s">
        <v>5515</v>
      </c>
      <c r="S1373" s="13" t="s">
        <v>5516</v>
      </c>
      <c r="T1373" s="11"/>
      <c r="U1373" s="10" t="str">
        <f>HYPERLINK("https://pbs.twimg.com/profile_images/760874344662896640/KFiCUreV.jpg","View")</f>
        <v>View</v>
      </c>
    </row>
    <row r="1374" spans="1:21" ht="51">
      <c r="A1374" s="6">
        <v>43439.810659722221</v>
      </c>
      <c r="B1374" s="7" t="str">
        <f>HYPERLINK("https://twitter.com/doguionrego","@doguionrego")</f>
        <v>@doguionrego</v>
      </c>
      <c r="C1374" s="8" t="s">
        <v>756</v>
      </c>
      <c r="D1374" s="9" t="s">
        <v>4627</v>
      </c>
      <c r="E1374" s="10" t="str">
        <f>HYPERLINK("https://twitter.com/doguionrego/status/1070384145535262720","1070384145535262720")</f>
        <v>1070384145535262720</v>
      </c>
      <c r="F1374" s="13" t="s">
        <v>4628</v>
      </c>
      <c r="G1374" s="11"/>
      <c r="H1374" s="11"/>
      <c r="I1374" s="14">
        <v>0</v>
      </c>
      <c r="J1374" s="14">
        <v>3</v>
      </c>
      <c r="K1374" s="15" t="str">
        <f t="shared" si="283"/>
        <v>Twitter for Android</v>
      </c>
      <c r="L1374" s="14">
        <v>4649</v>
      </c>
      <c r="M1374" s="14">
        <v>4774</v>
      </c>
      <c r="N1374" s="14">
        <v>9</v>
      </c>
      <c r="O1374" s="16"/>
      <c r="P1374" s="6">
        <v>42818.633599537032</v>
      </c>
      <c r="Q1374" s="12" t="s">
        <v>137</v>
      </c>
      <c r="R1374" s="17" t="s">
        <v>761</v>
      </c>
      <c r="S1374" s="11"/>
      <c r="T1374" s="11"/>
      <c r="U1374" s="10" t="str">
        <f>HYPERLINK("https://pbs.twimg.com/profile_images/937615481602789376/OBa7YPsM.jpg","View")</f>
        <v>View</v>
      </c>
    </row>
    <row r="1375" spans="1:21" ht="30.6">
      <c r="A1375" s="6">
        <v>43439.810520833329</v>
      </c>
      <c r="B1375" s="7" t="str">
        <f>HYPERLINK("https://twitter.com/Liverdades","@Liverdades")</f>
        <v>@Liverdades</v>
      </c>
      <c r="C1375" s="8" t="s">
        <v>5520</v>
      </c>
      <c r="D1375" s="9" t="s">
        <v>5521</v>
      </c>
      <c r="E1375" s="10" t="str">
        <f>HYPERLINK("https://twitter.com/Liverdades/status/1070384092464656384","1070384092464656384")</f>
        <v>1070384092464656384</v>
      </c>
      <c r="F1375" s="13" t="s">
        <v>5522</v>
      </c>
      <c r="G1375" s="13" t="s">
        <v>5523</v>
      </c>
      <c r="H1375" s="11"/>
      <c r="I1375" s="14">
        <v>0</v>
      </c>
      <c r="J1375" s="14">
        <v>0</v>
      </c>
      <c r="K1375" s="15" t="str">
        <f>HYPERLINK("https://dlvrit.com/","dlvr.it")</f>
        <v>dlvr.it</v>
      </c>
      <c r="L1375" s="14">
        <v>3503</v>
      </c>
      <c r="M1375" s="14">
        <v>3470</v>
      </c>
      <c r="N1375" s="14">
        <v>68</v>
      </c>
      <c r="O1375" s="16"/>
      <c r="P1375" s="6">
        <v>41743.492881944447</v>
      </c>
      <c r="Q1375" s="12" t="s">
        <v>83</v>
      </c>
      <c r="R1375" s="17" t="s">
        <v>5525</v>
      </c>
      <c r="S1375" s="13" t="s">
        <v>5526</v>
      </c>
      <c r="T1375" s="11"/>
      <c r="U1375" s="10" t="str">
        <f>HYPERLINK("https://pbs.twimg.com/profile_images/685407826445996032/eVcXWMVo.png","View")</f>
        <v>View</v>
      </c>
    </row>
    <row r="1376" spans="1:21" ht="51">
      <c r="A1376" s="6">
        <v>43439.809421296297</v>
      </c>
      <c r="B1376" s="7" t="str">
        <f>HYPERLINK("https://twitter.com/luisfernandez","@luisfernandez")</f>
        <v>@luisfernandez</v>
      </c>
      <c r="C1376" s="8" t="s">
        <v>4633</v>
      </c>
      <c r="D1376" s="9" t="s">
        <v>4634</v>
      </c>
      <c r="E1376" s="10" t="str">
        <f>HYPERLINK("https://twitter.com/luisfernandez/status/1070383694601510912","1070383694601510912")</f>
        <v>1070383694601510912</v>
      </c>
      <c r="F1376" s="11"/>
      <c r="G1376" s="13" t="s">
        <v>4635</v>
      </c>
      <c r="H1376" s="11"/>
      <c r="I1376" s="14">
        <v>3</v>
      </c>
      <c r="J1376" s="14">
        <v>2</v>
      </c>
      <c r="K1376" s="15" t="str">
        <f t="shared" ref="K1376:K1377" si="284">HYPERLINK("http://twitter.com/download/android","Twitter for Android")</f>
        <v>Twitter for Android</v>
      </c>
      <c r="L1376" s="14">
        <v>26093</v>
      </c>
      <c r="M1376" s="14">
        <v>26525</v>
      </c>
      <c r="N1376" s="14">
        <v>2304</v>
      </c>
      <c r="O1376" s="16"/>
      <c r="P1376" s="6">
        <v>39495.879004629627</v>
      </c>
      <c r="Q1376" s="12" t="s">
        <v>1121</v>
      </c>
      <c r="R1376" s="17" t="s">
        <v>4636</v>
      </c>
      <c r="S1376" s="13" t="s">
        <v>4637</v>
      </c>
      <c r="T1376" s="11"/>
      <c r="U1376" s="10" t="str">
        <f>HYPERLINK("https://pbs.twimg.com/profile_images/679322678327705600/GKK6NFxC.jpg","View")</f>
        <v>View</v>
      </c>
    </row>
    <row r="1377" spans="1:21" ht="40.799999999999997">
      <c r="A1377" s="6">
        <v>43439.809027777781</v>
      </c>
      <c r="B1377" s="7" t="str">
        <f>HYPERLINK("https://twitter.com/progrestona","@progrestona")</f>
        <v>@progrestona</v>
      </c>
      <c r="C1377" s="8" t="s">
        <v>5530</v>
      </c>
      <c r="D1377" s="9" t="s">
        <v>5531</v>
      </c>
      <c r="E1377" s="10" t="str">
        <f>HYPERLINK("https://twitter.com/progrestona/status/1070383554222276608","1070383554222276608")</f>
        <v>1070383554222276608</v>
      </c>
      <c r="F1377" s="11"/>
      <c r="G1377" s="13" t="s">
        <v>5533</v>
      </c>
      <c r="H1377" s="11"/>
      <c r="I1377" s="14">
        <v>4</v>
      </c>
      <c r="J1377" s="14">
        <v>13</v>
      </c>
      <c r="K1377" s="15" t="str">
        <f t="shared" si="284"/>
        <v>Twitter for Android</v>
      </c>
      <c r="L1377" s="14">
        <v>2377</v>
      </c>
      <c r="M1377" s="14">
        <v>2409</v>
      </c>
      <c r="N1377" s="14">
        <v>19</v>
      </c>
      <c r="O1377" s="16"/>
      <c r="P1377" s="6">
        <v>43331.657939814817</v>
      </c>
      <c r="Q1377" s="12" t="s">
        <v>5535</v>
      </c>
      <c r="R1377" s="17" t="s">
        <v>5536</v>
      </c>
      <c r="S1377" s="11"/>
      <c r="T1377" s="11"/>
      <c r="U1377" s="10" t="str">
        <f>HYPERLINK("https://pbs.twimg.com/profile_images/1031633850382921728/4xGXi69u.jpg","View")</f>
        <v>View</v>
      </c>
    </row>
    <row r="1378" spans="1:21" ht="40.799999999999997">
      <c r="A1378" s="6">
        <v>43439.808946759258</v>
      </c>
      <c r="B1378" s="7" t="str">
        <f>HYPERLINK("https://twitter.com/Luis_Angel_Sanz","@Luis_Angel_Sanz")</f>
        <v>@Luis_Angel_Sanz</v>
      </c>
      <c r="C1378" s="8" t="s">
        <v>4164</v>
      </c>
      <c r="D1378" s="9" t="s">
        <v>4641</v>
      </c>
      <c r="E1378" s="10" t="str">
        <f>HYPERLINK("https://twitter.com/Luis_Angel_Sanz/status/1070383524375617537","1070383524375617537")</f>
        <v>1070383524375617537</v>
      </c>
      <c r="F1378" s="11"/>
      <c r="G1378" s="11"/>
      <c r="H1378" s="11"/>
      <c r="I1378" s="14">
        <v>0</v>
      </c>
      <c r="J1378" s="14">
        <v>1</v>
      </c>
      <c r="K1378" s="15" t="str">
        <f>HYPERLINK("http://twitter.com","Twitter Web Client")</f>
        <v>Twitter Web Client</v>
      </c>
      <c r="L1378" s="14">
        <v>6251</v>
      </c>
      <c r="M1378" s="14">
        <v>603</v>
      </c>
      <c r="N1378" s="14">
        <v>239</v>
      </c>
      <c r="O1378" s="16"/>
      <c r="P1378" s="6">
        <v>40627.717928240745</v>
      </c>
      <c r="Q1378" s="11"/>
      <c r="R1378" s="17" t="s">
        <v>4171</v>
      </c>
      <c r="S1378" s="13" t="s">
        <v>4172</v>
      </c>
      <c r="T1378" s="11"/>
      <c r="U1378" s="10" t="str">
        <f>HYPERLINK("https://pbs.twimg.com/profile_images/721718785758117888/6RQic_kb.jpg","View")</f>
        <v>View</v>
      </c>
    </row>
    <row r="1379" spans="1:21" ht="20.399999999999999">
      <c r="A1379" s="6">
        <v>43439.807719907403</v>
      </c>
      <c r="B1379" s="7" t="str">
        <f>HYPERLINK("https://twitter.com/CristoFeliz1","@CristoFeliz1")</f>
        <v>@CristoFeliz1</v>
      </c>
      <c r="C1379" s="8" t="s">
        <v>5539</v>
      </c>
      <c r="D1379" s="9" t="s">
        <v>5265</v>
      </c>
      <c r="E1379" s="10" t="str">
        <f>HYPERLINK("https://twitter.com/CristoFeliz1/status/1070383077661102080","1070383077661102080")</f>
        <v>1070383077661102080</v>
      </c>
      <c r="F1379" s="13" t="s">
        <v>5540</v>
      </c>
      <c r="G1379" s="13" t="s">
        <v>5541</v>
      </c>
      <c r="H1379" s="11"/>
      <c r="I1379" s="14">
        <v>0</v>
      </c>
      <c r="J1379" s="14">
        <v>0</v>
      </c>
      <c r="K1379" s="15" t="str">
        <f>HYPERLINK("https://dlvrit.com/","dlvr.it")</f>
        <v>dlvr.it</v>
      </c>
      <c r="L1379" s="14">
        <v>7015</v>
      </c>
      <c r="M1379" s="14">
        <v>7733</v>
      </c>
      <c r="N1379" s="14">
        <v>561</v>
      </c>
      <c r="O1379" s="16"/>
      <c r="P1379" s="6">
        <v>41186.866469907407</v>
      </c>
      <c r="Q1379" s="12" t="s">
        <v>586</v>
      </c>
      <c r="R1379" s="17" t="s">
        <v>5542</v>
      </c>
      <c r="S1379" s="11"/>
      <c r="T1379" s="11"/>
      <c r="U1379" s="10" t="str">
        <f>HYPERLINK("https://pbs.twimg.com/profile_images/1002564938911703040/1Wvxy6Jm.jpg","View")</f>
        <v>View</v>
      </c>
    </row>
    <row r="1380" spans="1:21" ht="40.799999999999997">
      <c r="A1380" s="6">
        <v>43439.807638888888</v>
      </c>
      <c r="B1380" s="7" t="str">
        <f>HYPERLINK("https://twitter.com/JuntsPelSi_Cat","@JuntsPelSi_Cat")</f>
        <v>@JuntsPelSi_Cat</v>
      </c>
      <c r="C1380" s="8" t="s">
        <v>4704</v>
      </c>
      <c r="D1380" s="9" t="s">
        <v>5544</v>
      </c>
      <c r="E1380" s="10" t="str">
        <f>HYPERLINK("https://twitter.com/JuntsPelSi_Cat/status/1070383051862085633","1070383051862085633")</f>
        <v>1070383051862085633</v>
      </c>
      <c r="F1380" s="11"/>
      <c r="G1380" s="13" t="s">
        <v>5545</v>
      </c>
      <c r="H1380" s="11"/>
      <c r="I1380" s="14">
        <v>2</v>
      </c>
      <c r="J1380" s="14">
        <v>3</v>
      </c>
      <c r="K1380" s="15" t="str">
        <f>HYPERLINK("http://twitter.com/download/android","Twitter for Android")</f>
        <v>Twitter for Android</v>
      </c>
      <c r="L1380" s="14">
        <v>4633</v>
      </c>
      <c r="M1380" s="14">
        <v>3600</v>
      </c>
      <c r="N1380" s="14">
        <v>60</v>
      </c>
      <c r="O1380" s="16"/>
      <c r="P1380" s="6">
        <v>42205.999780092592</v>
      </c>
      <c r="Q1380" s="12" t="s">
        <v>4712</v>
      </c>
      <c r="R1380" s="17" t="s">
        <v>4713</v>
      </c>
      <c r="S1380" s="13" t="s">
        <v>4714</v>
      </c>
      <c r="T1380" s="11"/>
      <c r="U1380" s="10" t="str">
        <f>HYPERLINK("https://pbs.twimg.com/profile_images/921090848791576576/rOwUbSqr.jpg","View")</f>
        <v>View</v>
      </c>
    </row>
    <row r="1381" spans="1:21" ht="30.6">
      <c r="A1381" s="6">
        <v>43439.807546296295</v>
      </c>
      <c r="B1381" s="7" t="str">
        <f>HYPERLINK("https://twitter.com/PostVerita","@PostVerita")</f>
        <v>@PostVerita</v>
      </c>
      <c r="C1381" s="8" t="s">
        <v>4649</v>
      </c>
      <c r="D1381" s="9" t="s">
        <v>4651</v>
      </c>
      <c r="E1381" s="10" t="str">
        <f>HYPERLINK("https://twitter.com/PostVerita/status/1070383017217138689","1070383017217138689")</f>
        <v>1070383017217138689</v>
      </c>
      <c r="F1381" s="11"/>
      <c r="G1381" s="13" t="s">
        <v>4652</v>
      </c>
      <c r="H1381" s="11"/>
      <c r="I1381" s="14">
        <v>0</v>
      </c>
      <c r="J1381" s="14">
        <v>0</v>
      </c>
      <c r="K1381" s="15" t="str">
        <f>HYPERLINK("http://twitter.com/download/iphone","Twitter for iPhone")</f>
        <v>Twitter for iPhone</v>
      </c>
      <c r="L1381" s="14">
        <v>419</v>
      </c>
      <c r="M1381" s="14">
        <v>1816</v>
      </c>
      <c r="N1381" s="14">
        <v>7</v>
      </c>
      <c r="O1381" s="16"/>
      <c r="P1381" s="6">
        <v>41733.930115740739</v>
      </c>
      <c r="Q1381" s="12" t="s">
        <v>4655</v>
      </c>
      <c r="R1381" s="17" t="s">
        <v>4657</v>
      </c>
      <c r="S1381" s="11"/>
      <c r="T1381" s="11"/>
      <c r="U1381" s="10" t="str">
        <f>HYPERLINK("https://pbs.twimg.com/profile_images/993193123328286720/PWqZhVNZ.jpg","View")</f>
        <v>View</v>
      </c>
    </row>
    <row r="1382" spans="1:21" ht="40.799999999999997">
      <c r="A1382" s="6">
        <v>43439.806354166663</v>
      </c>
      <c r="B1382" s="7" t="str">
        <f>HYPERLINK("https://twitter.com/mutatismutand","@mutatismutand")</f>
        <v>@mutatismutand</v>
      </c>
      <c r="C1382" s="8" t="s">
        <v>5547</v>
      </c>
      <c r="D1382" s="9" t="s">
        <v>5548</v>
      </c>
      <c r="E1382" s="10" t="str">
        <f>HYPERLINK("https://twitter.com/mutatismutand/status/1070382585581322241","1070382585581322241")</f>
        <v>1070382585581322241</v>
      </c>
      <c r="F1382" s="11"/>
      <c r="G1382" s="11"/>
      <c r="H1382" s="11"/>
      <c r="I1382" s="14">
        <v>0</v>
      </c>
      <c r="J1382" s="14">
        <v>0</v>
      </c>
      <c r="K1382" s="15" t="str">
        <f>HYPERLINK("http://twitter.com","Twitter Web Client")</f>
        <v>Twitter Web Client</v>
      </c>
      <c r="L1382" s="14">
        <v>995</v>
      </c>
      <c r="M1382" s="14">
        <v>1294</v>
      </c>
      <c r="N1382" s="14">
        <v>12</v>
      </c>
      <c r="O1382" s="16"/>
      <c r="P1382" s="6">
        <v>40024.07435185185</v>
      </c>
      <c r="Q1382" s="12" t="s">
        <v>29</v>
      </c>
      <c r="R1382" s="17" t="s">
        <v>5549</v>
      </c>
      <c r="S1382" s="11"/>
      <c r="T1382" s="11"/>
      <c r="U1382" s="10" t="str">
        <f>HYPERLINK("https://pbs.twimg.com/profile_images/941864518220697601/qTPSq_CV.jpg","View")</f>
        <v>View</v>
      </c>
    </row>
    <row r="1383" spans="1:21" ht="30.6">
      <c r="A1383" s="6">
        <v>43439.806342592594</v>
      </c>
      <c r="B1383" s="7" t="str">
        <f>HYPERLINK("https://twitter.com/CsCambre","@CsCambre")</f>
        <v>@CsCambre</v>
      </c>
      <c r="C1383" s="8" t="s">
        <v>5551</v>
      </c>
      <c r="D1383" s="9" t="s">
        <v>5552</v>
      </c>
      <c r="E1383" s="10" t="str">
        <f>HYPERLINK("https://twitter.com/CsCambre/status/1070382578690129921","1070382578690129921")</f>
        <v>1070382578690129921</v>
      </c>
      <c r="F1383" s="13" t="s">
        <v>5553</v>
      </c>
      <c r="G1383" s="11"/>
      <c r="H1383" s="11"/>
      <c r="I1383" s="14">
        <v>0</v>
      </c>
      <c r="J1383" s="14">
        <v>0</v>
      </c>
      <c r="K1383" s="15" t="str">
        <f t="shared" ref="K1383:K1385" si="285">HYPERLINK("http://twitter.com/download/android","Twitter for Android")</f>
        <v>Twitter for Android</v>
      </c>
      <c r="L1383" s="14">
        <v>553</v>
      </c>
      <c r="M1383" s="14">
        <v>428</v>
      </c>
      <c r="N1383" s="14">
        <v>9</v>
      </c>
      <c r="O1383" s="16"/>
      <c r="P1383" s="6">
        <v>42340.764525462961</v>
      </c>
      <c r="Q1383" s="12" t="s">
        <v>5554</v>
      </c>
      <c r="R1383" s="17" t="s">
        <v>5555</v>
      </c>
      <c r="S1383" s="11"/>
      <c r="T1383" s="11"/>
      <c r="U1383" s="10" t="str">
        <f>HYPERLINK("https://pbs.twimg.com/profile_images/992101901671026688/ZFz5sxSM.jpg","View")</f>
        <v>View</v>
      </c>
    </row>
    <row r="1384" spans="1:21" ht="40.799999999999997">
      <c r="A1384" s="6">
        <v>43439.806203703702</v>
      </c>
      <c r="B1384" s="7" t="str">
        <f>HYPERLINK("https://twitter.com/Xela1971","@Xela1971")</f>
        <v>@Xela1971</v>
      </c>
      <c r="C1384" s="8" t="s">
        <v>4658</v>
      </c>
      <c r="D1384" s="9" t="s">
        <v>4659</v>
      </c>
      <c r="E1384" s="10" t="str">
        <f>HYPERLINK("https://twitter.com/Xela1971/status/1070382530925395969","1070382530925395969")</f>
        <v>1070382530925395969</v>
      </c>
      <c r="F1384" s="11"/>
      <c r="G1384" s="11"/>
      <c r="H1384" s="11"/>
      <c r="I1384" s="14">
        <v>0</v>
      </c>
      <c r="J1384" s="14">
        <v>0</v>
      </c>
      <c r="K1384" s="15" t="str">
        <f t="shared" si="285"/>
        <v>Twitter for Android</v>
      </c>
      <c r="L1384" s="14">
        <v>248</v>
      </c>
      <c r="M1384" s="14">
        <v>367</v>
      </c>
      <c r="N1384" s="14">
        <v>20</v>
      </c>
      <c r="O1384" s="16"/>
      <c r="P1384" s="6">
        <v>40485.309155092589</v>
      </c>
      <c r="Q1384" s="12" t="s">
        <v>4660</v>
      </c>
      <c r="R1384" s="17" t="s">
        <v>4661</v>
      </c>
      <c r="S1384" s="11"/>
      <c r="T1384" s="11"/>
      <c r="U1384" s="10" t="str">
        <f>HYPERLINK("https://pbs.twimg.com/profile_images/2918940958/e2149a934ef585f608462b650ad173da.jpeg","View")</f>
        <v>View</v>
      </c>
    </row>
    <row r="1385" spans="1:21" ht="40.799999999999997">
      <c r="A1385" s="6">
        <v>43439.806134259255</v>
      </c>
      <c r="B1385" s="7" t="str">
        <f>HYPERLINK("https://twitter.com/noelgz7","@noelgz7")</f>
        <v>@noelgz7</v>
      </c>
      <c r="C1385" s="8" t="s">
        <v>4662</v>
      </c>
      <c r="D1385" s="9" t="s">
        <v>4663</v>
      </c>
      <c r="E1385" s="10" t="str">
        <f>HYPERLINK("https://twitter.com/noelgz7/status/1070382505705000961","1070382505705000961")</f>
        <v>1070382505705000961</v>
      </c>
      <c r="F1385" s="11"/>
      <c r="G1385" s="11"/>
      <c r="H1385" s="11"/>
      <c r="I1385" s="14">
        <v>0</v>
      </c>
      <c r="J1385" s="14">
        <v>0</v>
      </c>
      <c r="K1385" s="15" t="str">
        <f t="shared" si="285"/>
        <v>Twitter for Android</v>
      </c>
      <c r="L1385" s="14">
        <v>686</v>
      </c>
      <c r="M1385" s="14">
        <v>1293</v>
      </c>
      <c r="N1385" s="14">
        <v>21</v>
      </c>
      <c r="O1385" s="16"/>
      <c r="P1385" s="6">
        <v>40372.624050925922</v>
      </c>
      <c r="Q1385" s="12" t="s">
        <v>2363</v>
      </c>
      <c r="R1385" s="17" t="s">
        <v>4664</v>
      </c>
      <c r="S1385" s="11"/>
      <c r="T1385" s="11"/>
      <c r="U1385" s="10" t="str">
        <f>HYPERLINK("https://pbs.twimg.com/profile_images/667695933291892736/9dZlI0s1.jpg","View")</f>
        <v>View</v>
      </c>
    </row>
    <row r="1386" spans="1:21" ht="20.399999999999999">
      <c r="A1386" s="6">
        <v>43439.806087962963</v>
      </c>
      <c r="B1386" s="7" t="str">
        <f>HYPERLINK("https://twitter.com/sextaNoticias","@sextaNoticias")</f>
        <v>@sextaNoticias</v>
      </c>
      <c r="C1386" s="8" t="s">
        <v>3316</v>
      </c>
      <c r="D1386" s="9" t="s">
        <v>5557</v>
      </c>
      <c r="E1386" s="10" t="str">
        <f>HYPERLINK("https://twitter.com/sextaNoticias/status/1070382487061315587","1070382487061315587")</f>
        <v>1070382487061315587</v>
      </c>
      <c r="F1386" s="13" t="s">
        <v>5559</v>
      </c>
      <c r="G1386" s="11"/>
      <c r="H1386" s="11"/>
      <c r="I1386" s="14">
        <v>5</v>
      </c>
      <c r="J1386" s="14">
        <v>8</v>
      </c>
      <c r="K1386" s="15" t="str">
        <f>HYPERLINK("http://dogtrack.es","DogTrack_Oficial")</f>
        <v>DogTrack_Oficial</v>
      </c>
      <c r="L1386" s="14">
        <v>1112666</v>
      </c>
      <c r="M1386" s="14">
        <v>279</v>
      </c>
      <c r="N1386" s="14">
        <v>7291</v>
      </c>
      <c r="O1386" s="19" t="s">
        <v>42</v>
      </c>
      <c r="P1386" s="6">
        <v>40099.614328703705</v>
      </c>
      <c r="Q1386" s="11"/>
      <c r="R1386" s="17" t="s">
        <v>3319</v>
      </c>
      <c r="S1386" s="13" t="s">
        <v>3320</v>
      </c>
      <c r="T1386" s="11"/>
      <c r="U1386" s="10" t="str">
        <f>HYPERLINK("https://pbs.twimg.com/profile_images/898970208551022592/hh3ITSK-.jpg","View")</f>
        <v>View</v>
      </c>
    </row>
    <row r="1387" spans="1:21" ht="40.799999999999997">
      <c r="A1387" s="6">
        <v>43439.805972222224</v>
      </c>
      <c r="B1387" s="7" t="str">
        <f>HYPERLINK("https://twitter.com/diego__clemente","@diego__clemente")</f>
        <v>@diego__clemente</v>
      </c>
      <c r="C1387" s="8" t="s">
        <v>2026</v>
      </c>
      <c r="D1387" s="9" t="s">
        <v>4665</v>
      </c>
      <c r="E1387" s="10" t="str">
        <f>HYPERLINK("https://twitter.com/diego__clemente/status/1070382445193768962","1070382445193768962")</f>
        <v>1070382445193768962</v>
      </c>
      <c r="F1387" s="13" t="s">
        <v>4666</v>
      </c>
      <c r="G1387" s="11"/>
      <c r="H1387" s="11"/>
      <c r="I1387" s="14">
        <v>25</v>
      </c>
      <c r="J1387" s="14">
        <v>38</v>
      </c>
      <c r="K1387" s="15" t="str">
        <f t="shared" ref="K1387:K1388" si="286">HYPERLINK("http://twitter.com/download/iphone","Twitter for iPhone")</f>
        <v>Twitter for iPhone</v>
      </c>
      <c r="L1387" s="14">
        <v>3394</v>
      </c>
      <c r="M1387" s="14">
        <v>1716</v>
      </c>
      <c r="N1387" s="14">
        <v>81</v>
      </c>
      <c r="O1387" s="19" t="s">
        <v>42</v>
      </c>
      <c r="P1387" s="6">
        <v>40182.013692129629</v>
      </c>
      <c r="Q1387" s="12" t="s">
        <v>2028</v>
      </c>
      <c r="R1387" s="17" t="s">
        <v>2029</v>
      </c>
      <c r="S1387" s="13" t="s">
        <v>2030</v>
      </c>
      <c r="T1387" s="11"/>
      <c r="U1387" s="10" t="str">
        <f>HYPERLINK("https://pbs.twimg.com/profile_images/791320639567167489/vx7m-uPY.jpg","View")</f>
        <v>View</v>
      </c>
    </row>
    <row r="1388" spans="1:21" ht="40.799999999999997">
      <c r="A1388" s="6">
        <v>43439.805787037039</v>
      </c>
      <c r="B1388" s="7" t="str">
        <f>HYPERLINK("https://twitter.com/DavidCifuu","@DavidCifuu")</f>
        <v>@DavidCifuu</v>
      </c>
      <c r="C1388" s="8" t="s">
        <v>4669</v>
      </c>
      <c r="D1388" s="9" t="s">
        <v>4670</v>
      </c>
      <c r="E1388" s="10" t="str">
        <f>HYPERLINK("https://twitter.com/DavidCifuu/status/1070382377527058433","1070382377527058433")</f>
        <v>1070382377527058433</v>
      </c>
      <c r="F1388" s="11"/>
      <c r="G1388" s="13" t="s">
        <v>4672</v>
      </c>
      <c r="H1388" s="11"/>
      <c r="I1388" s="14">
        <v>2</v>
      </c>
      <c r="J1388" s="14">
        <v>8</v>
      </c>
      <c r="K1388" s="15" t="str">
        <f t="shared" si="286"/>
        <v>Twitter for iPhone</v>
      </c>
      <c r="L1388" s="14">
        <v>1032</v>
      </c>
      <c r="M1388" s="14">
        <v>1796</v>
      </c>
      <c r="N1388" s="14">
        <v>16</v>
      </c>
      <c r="O1388" s="16"/>
      <c r="P1388" s="6">
        <v>40743.9294212963</v>
      </c>
      <c r="Q1388" s="12" t="s">
        <v>137</v>
      </c>
      <c r="R1388" s="17" t="s">
        <v>4673</v>
      </c>
      <c r="S1388" s="13" t="s">
        <v>4674</v>
      </c>
      <c r="T1388" s="11"/>
      <c r="U1388" s="10" t="str">
        <f>HYPERLINK("https://pbs.twimg.com/profile_images/967907740323631105/sNsFWA3d.jpg","View")</f>
        <v>View</v>
      </c>
    </row>
    <row r="1389" spans="1:21" ht="40.799999999999997">
      <c r="A1389" s="6">
        <v>43439.805659722224</v>
      </c>
      <c r="B1389" s="7" t="str">
        <f>HYPERLINK("https://twitter.com/Campamom","@Campamom")</f>
        <v>@Campamom</v>
      </c>
      <c r="C1389" s="8" t="s">
        <v>4675</v>
      </c>
      <c r="D1389" s="9" t="s">
        <v>4676</v>
      </c>
      <c r="E1389" s="10" t="str">
        <f>HYPERLINK("https://twitter.com/Campamom/status/1070382334275395584","1070382334275395584")</f>
        <v>1070382334275395584</v>
      </c>
      <c r="F1389" s="11"/>
      <c r="G1389" s="11"/>
      <c r="H1389" s="11"/>
      <c r="I1389" s="14">
        <v>0</v>
      </c>
      <c r="J1389" s="14">
        <v>1</v>
      </c>
      <c r="K1389" s="15" t="str">
        <f>HYPERLINK("http://twitter.com/download/android","Twitter for Android")</f>
        <v>Twitter for Android</v>
      </c>
      <c r="L1389" s="14">
        <v>1257</v>
      </c>
      <c r="M1389" s="14">
        <v>1263</v>
      </c>
      <c r="N1389" s="14">
        <v>43</v>
      </c>
      <c r="O1389" s="16"/>
      <c r="P1389" s="6">
        <v>40902.945162037038</v>
      </c>
      <c r="Q1389" s="12" t="s">
        <v>4679</v>
      </c>
      <c r="R1389" s="17" t="s">
        <v>4680</v>
      </c>
      <c r="S1389" s="11"/>
      <c r="T1389" s="11"/>
      <c r="U1389" s="10" t="str">
        <f>HYPERLINK("https://pbs.twimg.com/profile_images/1065733008227893249/jfD7MR4U.jpg","View")</f>
        <v>View</v>
      </c>
    </row>
    <row r="1390" spans="1:21" ht="40.799999999999997">
      <c r="A1390" s="6">
        <v>43439.805520833332</v>
      </c>
      <c r="B1390" s="7" t="str">
        <f>HYPERLINK("https://twitter.com/PartidoRepEs","@PartidoRepEs")</f>
        <v>@PartidoRepEs</v>
      </c>
      <c r="C1390" s="8" t="s">
        <v>519</v>
      </c>
      <c r="D1390" s="9" t="s">
        <v>5568</v>
      </c>
      <c r="E1390" s="10" t="str">
        <f>HYPERLINK("https://twitter.com/PartidoRepEs/status/1070382282953949185","1070382282953949185")</f>
        <v>1070382282953949185</v>
      </c>
      <c r="F1390" s="11"/>
      <c r="G1390" s="11"/>
      <c r="H1390" s="11"/>
      <c r="I1390" s="14">
        <v>2</v>
      </c>
      <c r="J1390" s="14">
        <v>1</v>
      </c>
      <c r="K1390" s="15" t="str">
        <f>HYPERLINK("https://mobile.twitter.com","Twitter Lite")</f>
        <v>Twitter Lite</v>
      </c>
      <c r="L1390" s="14">
        <v>4366</v>
      </c>
      <c r="M1390" s="14">
        <v>4993</v>
      </c>
      <c r="N1390" s="14">
        <v>25</v>
      </c>
      <c r="O1390" s="16"/>
      <c r="P1390" s="6">
        <v>42183.720682870371</v>
      </c>
      <c r="Q1390" s="11"/>
      <c r="R1390" s="17" t="s">
        <v>523</v>
      </c>
      <c r="S1390" s="13" t="s">
        <v>524</v>
      </c>
      <c r="T1390" s="11"/>
      <c r="U1390" s="10" t="str">
        <f>HYPERLINK("https://pbs.twimg.com/profile_images/615180335417040901/p8IX-96B.jpg","View")</f>
        <v>View</v>
      </c>
    </row>
    <row r="1391" spans="1:21" ht="30.6">
      <c r="A1391" s="6">
        <v>43439.804537037038</v>
      </c>
      <c r="B1391" s="7" t="str">
        <f>HYPERLINK("https://twitter.com/AntoniGinard","@AntoniGinard")</f>
        <v>@AntoniGinard</v>
      </c>
      <c r="C1391" s="8" t="s">
        <v>5571</v>
      </c>
      <c r="D1391" s="9" t="s">
        <v>5573</v>
      </c>
      <c r="E1391" s="10" t="str">
        <f>HYPERLINK("https://twitter.com/AntoniGinard/status/1070381924185726976","1070381924185726976")</f>
        <v>1070381924185726976</v>
      </c>
      <c r="F1391" s="13" t="s">
        <v>4786</v>
      </c>
      <c r="G1391" s="11"/>
      <c r="H1391" s="11"/>
      <c r="I1391" s="14">
        <v>0</v>
      </c>
      <c r="J1391" s="14">
        <v>0</v>
      </c>
      <c r="K1391" s="15" t="str">
        <f>HYPERLINK("http://twitter.com/download/iphone","Twitter for iPhone")</f>
        <v>Twitter for iPhone</v>
      </c>
      <c r="L1391" s="14">
        <v>1377</v>
      </c>
      <c r="M1391" s="14">
        <v>1508</v>
      </c>
      <c r="N1391" s="14">
        <v>25</v>
      </c>
      <c r="O1391" s="16"/>
      <c r="P1391" s="6">
        <v>41898.696284722224</v>
      </c>
      <c r="Q1391" s="11"/>
      <c r="R1391" s="17" t="s">
        <v>5576</v>
      </c>
      <c r="S1391" s="11"/>
      <c r="T1391" s="11"/>
      <c r="U1391" s="10" t="str">
        <f>HYPERLINK("https://pbs.twimg.com/profile_images/786337585517977601/ypEN8F5-.jpg","View")</f>
        <v>View</v>
      </c>
    </row>
    <row r="1392" spans="1:21" ht="30.6">
      <c r="A1392" s="6">
        <v>43439.804270833338</v>
      </c>
      <c r="B1392" s="7" t="str">
        <f>HYPERLINK("https://twitter.com/ESPCiudadana","@ESPCiudadana")</f>
        <v>@ESPCiudadana</v>
      </c>
      <c r="C1392" s="8" t="s">
        <v>4539</v>
      </c>
      <c r="D1392" s="9" t="s">
        <v>5577</v>
      </c>
      <c r="E1392" s="10" t="str">
        <f>HYPERLINK("https://twitter.com/ESPCiudadana/status/1070381829985726464","1070381829985726464")</f>
        <v>1070381829985726464</v>
      </c>
      <c r="F1392" s="13" t="s">
        <v>5580</v>
      </c>
      <c r="G1392" s="11"/>
      <c r="H1392" s="11"/>
      <c r="I1392" s="14">
        <v>45</v>
      </c>
      <c r="J1392" s="14">
        <v>81</v>
      </c>
      <c r="K1392" s="15" t="str">
        <f>HYPERLINK("https://periscope.tv","Periscope")</f>
        <v>Periscope</v>
      </c>
      <c r="L1392" s="14">
        <v>19276</v>
      </c>
      <c r="M1392" s="14">
        <v>52</v>
      </c>
      <c r="N1392" s="14">
        <v>107</v>
      </c>
      <c r="O1392" s="19" t="s">
        <v>42</v>
      </c>
      <c r="P1392" s="6">
        <v>42754.738634259258</v>
      </c>
      <c r="Q1392" s="12" t="s">
        <v>137</v>
      </c>
      <c r="R1392" s="17" t="s">
        <v>4547</v>
      </c>
      <c r="S1392" s="13" t="s">
        <v>4548</v>
      </c>
      <c r="T1392" s="11"/>
      <c r="U1392" s="10" t="str">
        <f>HYPERLINK("https://pbs.twimg.com/profile_images/998543974192238593/NBRL1Kk6.jpg","View")</f>
        <v>View</v>
      </c>
    </row>
    <row r="1393" spans="1:21" ht="51">
      <c r="A1393" s="6">
        <v>43439.803252314814</v>
      </c>
      <c r="B1393" s="7" t="str">
        <f>HYPERLINK("https://twitter.com/augello_luca","@augello_luca")</f>
        <v>@augello_luca</v>
      </c>
      <c r="C1393" s="8" t="s">
        <v>4684</v>
      </c>
      <c r="D1393" s="9" t="s">
        <v>4685</v>
      </c>
      <c r="E1393" s="10" t="str">
        <f>HYPERLINK("https://twitter.com/augello_luca/status/1070381458802511872","1070381458802511872")</f>
        <v>1070381458802511872</v>
      </c>
      <c r="F1393" s="11"/>
      <c r="G1393" s="11"/>
      <c r="H1393" s="11"/>
      <c r="I1393" s="14">
        <v>0</v>
      </c>
      <c r="J1393" s="14">
        <v>1</v>
      </c>
      <c r="K1393" s="15" t="str">
        <f>HYPERLINK("http://twitter.com/download/android","Twitter for Android")</f>
        <v>Twitter for Android</v>
      </c>
      <c r="L1393" s="14">
        <v>931</v>
      </c>
      <c r="M1393" s="14">
        <v>2132</v>
      </c>
      <c r="N1393" s="14">
        <v>11</v>
      </c>
      <c r="O1393" s="16"/>
      <c r="P1393" s="6">
        <v>42481.943819444445</v>
      </c>
      <c r="Q1393" s="12" t="s">
        <v>1785</v>
      </c>
      <c r="R1393" s="17" t="s">
        <v>4686</v>
      </c>
      <c r="S1393" s="13" t="s">
        <v>822</v>
      </c>
      <c r="T1393" s="11"/>
      <c r="U1393" s="10" t="str">
        <f>HYPERLINK("https://pbs.twimg.com/profile_images/998500217640005634/xHjpSwUw.jpg","View")</f>
        <v>View</v>
      </c>
    </row>
    <row r="1394" spans="1:21" ht="61.2">
      <c r="A1394" s="6">
        <v>43439.803043981483</v>
      </c>
      <c r="B1394" s="7" t="str">
        <f>HYPERLINK("https://twitter.com/MAQUIAVELA3","@MAQUIAVELA3")</f>
        <v>@MAQUIAVELA3</v>
      </c>
      <c r="C1394" s="8" t="s">
        <v>4687</v>
      </c>
      <c r="D1394" s="9" t="s">
        <v>4688</v>
      </c>
      <c r="E1394" s="10" t="str">
        <f>HYPERLINK("https://twitter.com/MAQUIAVELA3/status/1070381386073325569","1070381386073325569")</f>
        <v>1070381386073325569</v>
      </c>
      <c r="F1394" s="12" t="s">
        <v>4690</v>
      </c>
      <c r="G1394" s="13" t="s">
        <v>4692</v>
      </c>
      <c r="H1394" s="11"/>
      <c r="I1394" s="14">
        <v>20</v>
      </c>
      <c r="J1394" s="14">
        <v>22</v>
      </c>
      <c r="K1394" s="15" t="str">
        <f>HYPERLINK("http://twitter.com/download/iphone","Twitter for iPhone")</f>
        <v>Twitter for iPhone</v>
      </c>
      <c r="L1394" s="14">
        <v>1111</v>
      </c>
      <c r="M1394" s="14">
        <v>1082</v>
      </c>
      <c r="N1394" s="14">
        <v>3</v>
      </c>
      <c r="O1394" s="16"/>
      <c r="P1394" s="6">
        <v>43099.555763888886</v>
      </c>
      <c r="Q1394" s="12" t="s">
        <v>521</v>
      </c>
      <c r="R1394" s="17" t="s">
        <v>4696</v>
      </c>
      <c r="S1394" s="11"/>
      <c r="T1394" s="11"/>
      <c r="U1394" s="10" t="str">
        <f>HYPERLINK("https://pbs.twimg.com/profile_images/1039864818130399233/-JjB89k5.jpg","View")</f>
        <v>View</v>
      </c>
    </row>
    <row r="1395" spans="1:21" ht="30.6">
      <c r="A1395" s="6">
        <v>43439.802858796298</v>
      </c>
      <c r="B1395" s="7" t="str">
        <f>HYPERLINK("https://twitter.com/laluchapa","@laluchapa")</f>
        <v>@laluchapa</v>
      </c>
      <c r="C1395" s="8" t="s">
        <v>5591</v>
      </c>
      <c r="D1395" s="9" t="s">
        <v>4269</v>
      </c>
      <c r="E1395" s="10" t="str">
        <f>HYPERLINK("https://twitter.com/laluchapa/status/1070381317643231233","1070381317643231233")</f>
        <v>1070381317643231233</v>
      </c>
      <c r="F1395" s="13" t="s">
        <v>4270</v>
      </c>
      <c r="G1395" s="11"/>
      <c r="H1395" s="11"/>
      <c r="I1395" s="14">
        <v>0</v>
      </c>
      <c r="J1395" s="14">
        <v>1</v>
      </c>
      <c r="K1395" s="15" t="str">
        <f>HYPERLINK("http://twitter.com","Twitter Web Client")</f>
        <v>Twitter Web Client</v>
      </c>
      <c r="L1395" s="14">
        <v>3412</v>
      </c>
      <c r="M1395" s="14">
        <v>3406</v>
      </c>
      <c r="N1395" s="14">
        <v>24</v>
      </c>
      <c r="O1395" s="16"/>
      <c r="P1395" s="6">
        <v>40680.757268518515</v>
      </c>
      <c r="Q1395" s="12" t="s">
        <v>137</v>
      </c>
      <c r="R1395" s="17" t="s">
        <v>5593</v>
      </c>
      <c r="S1395" s="11"/>
      <c r="T1395" s="11"/>
      <c r="U1395" s="10" t="str">
        <f>HYPERLINK("https://pbs.twimg.com/profile_images/668846620843356160/WaK1YjED.jpg","View")</f>
        <v>View</v>
      </c>
    </row>
    <row r="1396" spans="1:21" ht="61.2">
      <c r="A1396" s="6">
        <v>43439.802118055552</v>
      </c>
      <c r="B1396" s="7" t="str">
        <f>HYPERLINK("https://twitter.com/JuntsPelSi_Cat","@JuntsPelSi_Cat")</f>
        <v>@JuntsPelSi_Cat</v>
      </c>
      <c r="C1396" s="8" t="s">
        <v>4704</v>
      </c>
      <c r="D1396" s="9" t="s">
        <v>4705</v>
      </c>
      <c r="E1396" s="10" t="str">
        <f>HYPERLINK("https://twitter.com/JuntsPelSi_Cat/status/1070381048767373317","1070381048767373317")</f>
        <v>1070381048767373317</v>
      </c>
      <c r="F1396" s="12" t="s">
        <v>4708</v>
      </c>
      <c r="G1396" s="13" t="s">
        <v>4709</v>
      </c>
      <c r="H1396" s="11"/>
      <c r="I1396" s="14">
        <v>3</v>
      </c>
      <c r="J1396" s="14">
        <v>0</v>
      </c>
      <c r="K1396" s="15" t="str">
        <f>HYPERLINK("http://twitter.com/download/android","Twitter for Android")</f>
        <v>Twitter for Android</v>
      </c>
      <c r="L1396" s="14">
        <v>4633</v>
      </c>
      <c r="M1396" s="14">
        <v>3600</v>
      </c>
      <c r="N1396" s="14">
        <v>60</v>
      </c>
      <c r="O1396" s="16"/>
      <c r="P1396" s="6">
        <v>42205.999780092592</v>
      </c>
      <c r="Q1396" s="12" t="s">
        <v>4712</v>
      </c>
      <c r="R1396" s="17" t="s">
        <v>4713</v>
      </c>
      <c r="S1396" s="13" t="s">
        <v>4714</v>
      </c>
      <c r="T1396" s="11"/>
      <c r="U1396" s="10" t="str">
        <f>HYPERLINK("https://pbs.twimg.com/profile_images/921090848791576576/rOwUbSqr.jpg","View")</f>
        <v>View</v>
      </c>
    </row>
    <row r="1397" spans="1:21" ht="40.799999999999997">
      <c r="A1397" s="6">
        <v>43439.801921296297</v>
      </c>
      <c r="B1397" s="7" t="str">
        <f>HYPERLINK("https://twitter.com/VictorRoblesV","@VictorRoblesV")</f>
        <v>@VictorRoblesV</v>
      </c>
      <c r="C1397" s="8" t="s">
        <v>5599</v>
      </c>
      <c r="D1397" s="9" t="s">
        <v>5600</v>
      </c>
      <c r="E1397" s="10" t="str">
        <f>HYPERLINK("https://twitter.com/VictorRoblesV/status/1070380976247898113","1070380976247898113")</f>
        <v>1070380976247898113</v>
      </c>
      <c r="F1397" s="11"/>
      <c r="G1397" s="11"/>
      <c r="H1397" s="11"/>
      <c r="I1397" s="14">
        <v>0</v>
      </c>
      <c r="J1397" s="14">
        <v>2</v>
      </c>
      <c r="K1397" s="15" t="str">
        <f>HYPERLINK("http://twitter.com","Twitter Web Client")</f>
        <v>Twitter Web Client</v>
      </c>
      <c r="L1397" s="14">
        <v>70</v>
      </c>
      <c r="M1397" s="14">
        <v>159</v>
      </c>
      <c r="N1397" s="14">
        <v>1</v>
      </c>
      <c r="O1397" s="16"/>
      <c r="P1397" s="6">
        <v>40738.798414351855</v>
      </c>
      <c r="Q1397" s="12" t="s">
        <v>5602</v>
      </c>
      <c r="R1397" s="17" t="s">
        <v>5603</v>
      </c>
      <c r="S1397" s="11"/>
      <c r="T1397" s="11"/>
      <c r="U1397" s="10" t="str">
        <f>HYPERLINK("https://pbs.twimg.com/profile_images/466126871256506368/oIy4W-ou.jpeg","View")</f>
        <v>View</v>
      </c>
    </row>
    <row r="1398" spans="1:21" ht="30.6">
      <c r="A1398" s="6">
        <v>43439.801550925928</v>
      </c>
      <c r="B1398" s="7" t="str">
        <f>HYPERLINK("https://twitter.com/ElHuffPost","@ElHuffPost")</f>
        <v>@ElHuffPost</v>
      </c>
      <c r="C1398" s="8" t="s">
        <v>114</v>
      </c>
      <c r="D1398" s="9" t="s">
        <v>5265</v>
      </c>
      <c r="E1398" s="10" t="str">
        <f>HYPERLINK("https://twitter.com/ElHuffPost/status/1070380845154865152","1070380845154865152")</f>
        <v>1070380845154865152</v>
      </c>
      <c r="F1398" s="13" t="s">
        <v>4666</v>
      </c>
      <c r="G1398" s="11"/>
      <c r="H1398" s="11"/>
      <c r="I1398" s="14">
        <v>2</v>
      </c>
      <c r="J1398" s="14">
        <v>5</v>
      </c>
      <c r="K1398" s="15" t="str">
        <f>HYPERLINK("https://about.twitter.com/products/tweetdeck","TweetDeck")</f>
        <v>TweetDeck</v>
      </c>
      <c r="L1398" s="14">
        <v>431182</v>
      </c>
      <c r="M1398" s="14">
        <v>1551</v>
      </c>
      <c r="N1398" s="14">
        <v>8205</v>
      </c>
      <c r="O1398" s="19" t="s">
        <v>42</v>
      </c>
      <c r="P1398" s="6">
        <v>40785.027118055557</v>
      </c>
      <c r="Q1398" s="12" t="s">
        <v>119</v>
      </c>
      <c r="R1398" s="17" t="s">
        <v>120</v>
      </c>
      <c r="S1398" s="13" t="s">
        <v>121</v>
      </c>
      <c r="T1398" s="11"/>
      <c r="U1398" s="10" t="str">
        <f>HYPERLINK("https://pbs.twimg.com/profile_images/921140803422089217/ETOEUOAx.jpg","View")</f>
        <v>View</v>
      </c>
    </row>
    <row r="1399" spans="1:21" ht="30.6">
      <c r="A1399" s="6">
        <v>43439.800925925927</v>
      </c>
      <c r="B1399" s="7" t="str">
        <f>HYPERLINK("https://twitter.com/Elazote52008222","@Elazote52008222")</f>
        <v>@Elazote52008222</v>
      </c>
      <c r="C1399" s="8" t="s">
        <v>4719</v>
      </c>
      <c r="D1399" s="9" t="s">
        <v>4720</v>
      </c>
      <c r="E1399" s="10" t="str">
        <f>HYPERLINK("https://twitter.com/Elazote52008222/status/1070380616309448706","1070380616309448706")</f>
        <v>1070380616309448706</v>
      </c>
      <c r="F1399" s="11"/>
      <c r="G1399" s="13" t="s">
        <v>4723</v>
      </c>
      <c r="H1399" s="11"/>
      <c r="I1399" s="14">
        <v>0</v>
      </c>
      <c r="J1399" s="14">
        <v>0</v>
      </c>
      <c r="K1399" s="15" t="str">
        <f>HYPERLINK("http://twitter.com/download/android","Twitter for Android")</f>
        <v>Twitter for Android</v>
      </c>
      <c r="L1399" s="14">
        <v>117</v>
      </c>
      <c r="M1399" s="14">
        <v>372</v>
      </c>
      <c r="N1399" s="14">
        <v>1</v>
      </c>
      <c r="O1399" s="16"/>
      <c r="P1399" s="6">
        <v>43328.634502314817</v>
      </c>
      <c r="Q1399" s="11"/>
      <c r="R1399" s="18"/>
      <c r="S1399" s="11"/>
      <c r="T1399" s="11"/>
      <c r="U1399" s="10" t="str">
        <f>HYPERLINK("https://pbs.twimg.com/profile_images/1030163525061300226/H6z0SZDH.jpg","View")</f>
        <v>View</v>
      </c>
    </row>
    <row r="1400" spans="1:21" ht="51">
      <c r="A1400" s="6">
        <v>43439.800254629634</v>
      </c>
      <c r="B1400" s="7" t="str">
        <f>HYPERLINK("https://twitter.com/Marcmanu","@Marcmanu")</f>
        <v>@Marcmanu</v>
      </c>
      <c r="C1400" s="8" t="s">
        <v>5610</v>
      </c>
      <c r="D1400" s="9" t="s">
        <v>5611</v>
      </c>
      <c r="E1400" s="10" t="str">
        <f>HYPERLINK("https://twitter.com/Marcmanu/status/1070380372352008198","1070380372352008198")</f>
        <v>1070380372352008198</v>
      </c>
      <c r="F1400" s="13" t="s">
        <v>4715</v>
      </c>
      <c r="G1400" s="11"/>
      <c r="H1400" s="11"/>
      <c r="I1400" s="14">
        <v>0</v>
      </c>
      <c r="J1400" s="14">
        <v>0</v>
      </c>
      <c r="K1400" s="15" t="str">
        <f>HYPERLINK("http://twitter.com","Twitter Web Client")</f>
        <v>Twitter Web Client</v>
      </c>
      <c r="L1400" s="14">
        <v>165</v>
      </c>
      <c r="M1400" s="14">
        <v>201</v>
      </c>
      <c r="N1400" s="14">
        <v>1</v>
      </c>
      <c r="O1400" s="16"/>
      <c r="P1400" s="6">
        <v>40432.034108796295</v>
      </c>
      <c r="Q1400" s="12" t="s">
        <v>5613</v>
      </c>
      <c r="R1400" s="17" t="s">
        <v>5614</v>
      </c>
      <c r="S1400" s="11"/>
      <c r="T1400" s="11"/>
      <c r="U1400" s="10" t="str">
        <f>HYPERLINK("https://pbs.twimg.com/profile_images/1011373898863185928/0N00Hb8F.jpg","View")</f>
        <v>View</v>
      </c>
    </row>
    <row r="1401" spans="1:21" ht="61.2">
      <c r="A1401" s="6">
        <v>43439.800046296295</v>
      </c>
      <c r="B1401" s="7" t="str">
        <f>HYPERLINK("https://twitter.com/JuntsPelSi_Cat","@JuntsPelSi_Cat")</f>
        <v>@JuntsPelSi_Cat</v>
      </c>
      <c r="C1401" s="8" t="s">
        <v>4704</v>
      </c>
      <c r="D1401" s="9" t="s">
        <v>4726</v>
      </c>
      <c r="E1401" s="10" t="str">
        <f>HYPERLINK("https://twitter.com/JuntsPelSi_Cat/status/1070380297743667201","1070380297743667201")</f>
        <v>1070380297743667201</v>
      </c>
      <c r="F1401" s="13" t="s">
        <v>4727</v>
      </c>
      <c r="G1401" s="13" t="s">
        <v>4728</v>
      </c>
      <c r="H1401" s="11"/>
      <c r="I1401" s="14">
        <v>0</v>
      </c>
      <c r="J1401" s="14">
        <v>1</v>
      </c>
      <c r="K1401" s="15" t="str">
        <f>HYPERLINK("http://twitter.com/download/android","Twitter for Android")</f>
        <v>Twitter for Android</v>
      </c>
      <c r="L1401" s="14">
        <v>4633</v>
      </c>
      <c r="M1401" s="14">
        <v>3600</v>
      </c>
      <c r="N1401" s="14">
        <v>60</v>
      </c>
      <c r="O1401" s="16"/>
      <c r="P1401" s="6">
        <v>42205.999780092592</v>
      </c>
      <c r="Q1401" s="12" t="s">
        <v>4712</v>
      </c>
      <c r="R1401" s="17" t="s">
        <v>4713</v>
      </c>
      <c r="S1401" s="13" t="s">
        <v>4714</v>
      </c>
      <c r="T1401" s="11"/>
      <c r="U1401" s="10" t="str">
        <f>HYPERLINK("https://pbs.twimg.com/profile_images/921090848791576576/rOwUbSqr.jpg","View")</f>
        <v>View</v>
      </c>
    </row>
    <row r="1402" spans="1:21" ht="40.799999999999997">
      <c r="A1402" s="6">
        <v>43439.799907407403</v>
      </c>
      <c r="B1402" s="7" t="str">
        <f>HYPERLINK("https://twitter.com/evagargon","@evagargon")</f>
        <v>@evagargon</v>
      </c>
      <c r="C1402" s="8" t="s">
        <v>5619</v>
      </c>
      <c r="D1402" s="9" t="s">
        <v>5620</v>
      </c>
      <c r="E1402" s="10" t="str">
        <f>HYPERLINK("https://twitter.com/evagargon/status/1070380249278504960","1070380249278504960")</f>
        <v>1070380249278504960</v>
      </c>
      <c r="F1402" s="11"/>
      <c r="G1402" s="11"/>
      <c r="H1402" s="11"/>
      <c r="I1402" s="14">
        <v>0</v>
      </c>
      <c r="J1402" s="14">
        <v>0</v>
      </c>
      <c r="K1402" s="15" t="str">
        <f>HYPERLINK("http://twitter.com","Twitter Web Client")</f>
        <v>Twitter Web Client</v>
      </c>
      <c r="L1402" s="14">
        <v>494</v>
      </c>
      <c r="M1402" s="14">
        <v>242</v>
      </c>
      <c r="N1402" s="14">
        <v>28</v>
      </c>
      <c r="O1402" s="16"/>
      <c r="P1402" s="6">
        <v>39426.877395833333</v>
      </c>
      <c r="Q1402" s="12" t="s">
        <v>2301</v>
      </c>
      <c r="R1402" s="17" t="s">
        <v>5623</v>
      </c>
      <c r="S1402" s="11"/>
      <c r="T1402" s="11"/>
      <c r="U1402" s="10" t="str">
        <f>HYPERLINK("https://pbs.twimg.com/profile_images/976556771065114624/RmWArSPr.jpg","View")</f>
        <v>View</v>
      </c>
    </row>
    <row r="1403" spans="1:21" ht="20.399999999999999">
      <c r="A1403" s="6">
        <v>43439.79987268518</v>
      </c>
      <c r="B1403" s="7" t="str">
        <f>HYPERLINK("https://twitter.com/Josegonsan","@Josegonsan")</f>
        <v>@Josegonsan</v>
      </c>
      <c r="C1403" s="8" t="s">
        <v>5352</v>
      </c>
      <c r="D1403" s="9" t="s">
        <v>5626</v>
      </c>
      <c r="E1403" s="10" t="str">
        <f>HYPERLINK("https://twitter.com/Josegonsan/status/1070380236041269248","1070380236041269248")</f>
        <v>1070380236041269248</v>
      </c>
      <c r="F1403" s="11"/>
      <c r="G1403" s="11"/>
      <c r="H1403" s="11"/>
      <c r="I1403" s="14">
        <v>0</v>
      </c>
      <c r="J1403" s="14">
        <v>0</v>
      </c>
      <c r="K1403" s="15" t="str">
        <f t="shared" ref="K1403:K1404" si="287">HYPERLINK("http://twitter.com/download/android","Twitter for Android")</f>
        <v>Twitter for Android</v>
      </c>
      <c r="L1403" s="14">
        <v>23</v>
      </c>
      <c r="M1403" s="14">
        <v>117</v>
      </c>
      <c r="N1403" s="14">
        <v>0</v>
      </c>
      <c r="O1403" s="16"/>
      <c r="P1403" s="6">
        <v>42171.603854166664</v>
      </c>
      <c r="Q1403" s="12" t="s">
        <v>5354</v>
      </c>
      <c r="R1403" s="18"/>
      <c r="S1403" s="11"/>
      <c r="T1403" s="11"/>
      <c r="U1403" s="10" t="str">
        <f>HYPERLINK("https://pbs.twimg.com/profile_images/613410644201721857/9uDgGBog.jpg","View")</f>
        <v>View</v>
      </c>
    </row>
    <row r="1404" spans="1:21" ht="51">
      <c r="A1404" s="6">
        <v>43439.799583333333</v>
      </c>
      <c r="B1404" s="7" t="str">
        <f>HYPERLINK("https://twitter.com/garlei86","@garlei86")</f>
        <v>@garlei86</v>
      </c>
      <c r="C1404" s="8" t="s">
        <v>4734</v>
      </c>
      <c r="D1404" s="9" t="s">
        <v>4735</v>
      </c>
      <c r="E1404" s="10" t="str">
        <f>HYPERLINK("https://twitter.com/garlei86/status/1070380131728924672","1070380131728924672")</f>
        <v>1070380131728924672</v>
      </c>
      <c r="F1404" s="11"/>
      <c r="G1404" s="11"/>
      <c r="H1404" s="11"/>
      <c r="I1404" s="14">
        <v>0</v>
      </c>
      <c r="J1404" s="14">
        <v>1</v>
      </c>
      <c r="K1404" s="15" t="str">
        <f t="shared" si="287"/>
        <v>Twitter for Android</v>
      </c>
      <c r="L1404" s="14">
        <v>819</v>
      </c>
      <c r="M1404" s="14">
        <v>2880</v>
      </c>
      <c r="N1404" s="14">
        <v>32</v>
      </c>
      <c r="O1404" s="16"/>
      <c r="P1404" s="6">
        <v>41988.676122685181</v>
      </c>
      <c r="Q1404" s="11"/>
      <c r="R1404" s="18"/>
      <c r="S1404" s="11"/>
      <c r="T1404" s="11"/>
      <c r="U1404" s="10" t="str">
        <f>HYPERLINK("https://pbs.twimg.com/profile_images/941787267252805637/r2_WnB2q.jpg","View")</f>
        <v>View</v>
      </c>
    </row>
    <row r="1405" spans="1:21" ht="51">
      <c r="A1405" s="6">
        <v>43439.798611111109</v>
      </c>
      <c r="B1405" s="7" t="str">
        <f>HYPERLINK("https://twitter.com/CsCongreso","@CsCongreso")</f>
        <v>@CsCongreso</v>
      </c>
      <c r="C1405" s="8" t="s">
        <v>4739</v>
      </c>
      <c r="D1405" s="9" t="s">
        <v>4740</v>
      </c>
      <c r="E1405" s="10" t="str">
        <f>HYPERLINK("https://twitter.com/CsCongreso/status/1070379777645699072","1070379777645699072")</f>
        <v>1070379777645699072</v>
      </c>
      <c r="F1405" s="11"/>
      <c r="G1405" s="13" t="s">
        <v>4741</v>
      </c>
      <c r="H1405" s="11"/>
      <c r="I1405" s="14">
        <v>7</v>
      </c>
      <c r="J1405" s="14">
        <v>21</v>
      </c>
      <c r="K1405" s="15" t="str">
        <f>HYPERLINK("https://studio.twitter.com","Twitter Media Studio")</f>
        <v>Twitter Media Studio</v>
      </c>
      <c r="L1405" s="14">
        <v>35515</v>
      </c>
      <c r="M1405" s="14">
        <v>9992</v>
      </c>
      <c r="N1405" s="14">
        <v>419</v>
      </c>
      <c r="O1405" s="19" t="s">
        <v>42</v>
      </c>
      <c r="P1405" s="6">
        <v>41533.434733796297</v>
      </c>
      <c r="Q1405" s="12" t="s">
        <v>137</v>
      </c>
      <c r="R1405" s="17" t="s">
        <v>4743</v>
      </c>
      <c r="S1405" s="13" t="s">
        <v>822</v>
      </c>
      <c r="T1405" s="11"/>
      <c r="U1405" s="10" t="str">
        <f>HYPERLINK("https://pbs.twimg.com/profile_images/885163719302557696/v7WiRi0W.jpg","View")</f>
        <v>View</v>
      </c>
    </row>
    <row r="1406" spans="1:21" ht="51">
      <c r="A1406" s="6">
        <v>43439.798564814817</v>
      </c>
      <c r="B1406" s="7" t="str">
        <f>HYPERLINK("https://twitter.com/AdaColau","@AdaColau")</f>
        <v>@AdaColau</v>
      </c>
      <c r="C1406" s="8" t="s">
        <v>4744</v>
      </c>
      <c r="D1406" s="9" t="s">
        <v>4745</v>
      </c>
      <c r="E1406" s="10" t="str">
        <f>HYPERLINK("https://twitter.com/AdaColau/status/1070379760323358722","1070379760323358722")</f>
        <v>1070379760323358722</v>
      </c>
      <c r="F1406" s="11"/>
      <c r="G1406" s="13" t="s">
        <v>4746</v>
      </c>
      <c r="H1406" s="11"/>
      <c r="I1406" s="14">
        <v>801</v>
      </c>
      <c r="J1406" s="14">
        <v>1452</v>
      </c>
      <c r="K1406" s="15" t="str">
        <f t="shared" ref="K1406:K1407" si="288">HYPERLINK("http://twitter.com/download/iphone","Twitter for iPhone")</f>
        <v>Twitter for iPhone</v>
      </c>
      <c r="L1406" s="14">
        <v>857983</v>
      </c>
      <c r="M1406" s="14">
        <v>1924</v>
      </c>
      <c r="N1406" s="14">
        <v>4235</v>
      </c>
      <c r="O1406" s="19" t="s">
        <v>42</v>
      </c>
      <c r="P1406" s="6">
        <v>40183.710428240738</v>
      </c>
      <c r="Q1406" s="12" t="s">
        <v>83</v>
      </c>
      <c r="R1406" s="17" t="s">
        <v>4749</v>
      </c>
      <c r="S1406" s="13" t="s">
        <v>4750</v>
      </c>
      <c r="T1406" s="11"/>
      <c r="U1406" s="10" t="str">
        <f>HYPERLINK("https://pbs.twimg.com/profile_images/1042418519726538753/_tkQOTz-.jpg","View")</f>
        <v>View</v>
      </c>
    </row>
    <row r="1407" spans="1:21" ht="51">
      <c r="A1407" s="6">
        <v>43439.798287037032</v>
      </c>
      <c r="B1407" s="7" t="str">
        <f>HYPERLINK("https://twitter.com/DiegoGP_ES","@DiegoGP_ES")</f>
        <v>@DiegoGP_ES</v>
      </c>
      <c r="C1407" s="8" t="s">
        <v>4752</v>
      </c>
      <c r="D1407" s="9" t="s">
        <v>4753</v>
      </c>
      <c r="E1407" s="10" t="str">
        <f>HYPERLINK("https://twitter.com/DiegoGP_ES/status/1070379659089641474","1070379659089641474")</f>
        <v>1070379659089641474</v>
      </c>
      <c r="F1407" s="11"/>
      <c r="G1407" s="11"/>
      <c r="H1407" s="11"/>
      <c r="I1407" s="14">
        <v>0</v>
      </c>
      <c r="J1407" s="14">
        <v>0</v>
      </c>
      <c r="K1407" s="15" t="str">
        <f t="shared" si="288"/>
        <v>Twitter for iPhone</v>
      </c>
      <c r="L1407" s="14">
        <v>329</v>
      </c>
      <c r="M1407" s="14">
        <v>1247</v>
      </c>
      <c r="N1407" s="14">
        <v>13</v>
      </c>
      <c r="O1407" s="16"/>
      <c r="P1407" s="6">
        <v>40851.940138888887</v>
      </c>
      <c r="Q1407" s="12" t="s">
        <v>4754</v>
      </c>
      <c r="R1407" s="17" t="s">
        <v>4755</v>
      </c>
      <c r="S1407" s="11"/>
      <c r="T1407" s="11"/>
      <c r="U1407" s="10" t="str">
        <f>HYPERLINK("https://pbs.twimg.com/profile_images/597561161907884032/Ihagf2BH.jpg","View")</f>
        <v>View</v>
      </c>
    </row>
    <row r="1408" spans="1:21" ht="20.399999999999999">
      <c r="A1408" s="6">
        <v>43439.798136574071</v>
      </c>
      <c r="B1408" s="7" t="str">
        <f>HYPERLINK("https://twitter.com/zoteiro","@zoteiro")</f>
        <v>@zoteiro</v>
      </c>
      <c r="C1408" s="8" t="s">
        <v>5640</v>
      </c>
      <c r="D1408" s="9" t="s">
        <v>4269</v>
      </c>
      <c r="E1408" s="10" t="str">
        <f>HYPERLINK("https://twitter.com/zoteiro/status/1070379604517507072","1070379604517507072")</f>
        <v>1070379604517507072</v>
      </c>
      <c r="F1408" s="11"/>
      <c r="G1408" s="13" t="s">
        <v>5643</v>
      </c>
      <c r="H1408" s="11"/>
      <c r="I1408" s="14">
        <v>0</v>
      </c>
      <c r="J1408" s="14">
        <v>1</v>
      </c>
      <c r="K1408" s="15" t="str">
        <f>HYPERLINK("http://twitter.com","Twitter Web Client")</f>
        <v>Twitter Web Client</v>
      </c>
      <c r="L1408" s="14">
        <v>681</v>
      </c>
      <c r="M1408" s="14">
        <v>701</v>
      </c>
      <c r="N1408" s="14">
        <v>0</v>
      </c>
      <c r="O1408" s="16"/>
      <c r="P1408" s="6">
        <v>42908.642314814817</v>
      </c>
      <c r="Q1408" s="11"/>
      <c r="R1408" s="18"/>
      <c r="S1408" s="11"/>
      <c r="T1408" s="11"/>
      <c r="U1408" s="10" t="str">
        <f>HYPERLINK("https://pbs.twimg.com/profile_images/1011270132306497537/fLkXfy33.jpg","View")</f>
        <v>View</v>
      </c>
    </row>
    <row r="1409" spans="1:21" ht="40.799999999999997">
      <c r="A1409" s="6">
        <v>43439.797986111109</v>
      </c>
      <c r="B1409" s="7" t="str">
        <f>HYPERLINK("https://twitter.com/arnaldpb","@arnaldpb")</f>
        <v>@arnaldpb</v>
      </c>
      <c r="C1409" s="8" t="s">
        <v>5645</v>
      </c>
      <c r="D1409" s="9" t="s">
        <v>5646</v>
      </c>
      <c r="E1409" s="10" t="str">
        <f>HYPERLINK("https://twitter.com/arnaldpb/status/1070379551476383748","1070379551476383748")</f>
        <v>1070379551476383748</v>
      </c>
      <c r="F1409" s="11"/>
      <c r="G1409" s="13" t="s">
        <v>5647</v>
      </c>
      <c r="H1409" s="11"/>
      <c r="I1409" s="14">
        <v>2</v>
      </c>
      <c r="J1409" s="14">
        <v>7</v>
      </c>
      <c r="K1409" s="15" t="str">
        <f t="shared" ref="K1409:K1410" si="289">HYPERLINK("http://twitter.com/download/iphone","Twitter for iPhone")</f>
        <v>Twitter for iPhone</v>
      </c>
      <c r="L1409" s="14">
        <v>379</v>
      </c>
      <c r="M1409" s="14">
        <v>598</v>
      </c>
      <c r="N1409" s="14">
        <v>7</v>
      </c>
      <c r="O1409" s="16"/>
      <c r="P1409" s="6">
        <v>40580.925995370373</v>
      </c>
      <c r="Q1409" s="12" t="s">
        <v>83</v>
      </c>
      <c r="R1409" s="17" t="s">
        <v>5649</v>
      </c>
      <c r="S1409" s="11"/>
      <c r="T1409" s="11"/>
      <c r="U1409" s="10" t="str">
        <f>HYPERLINK("https://pbs.twimg.com/profile_images/1040705485765324801/Z6Rvwi4C.jpg","View")</f>
        <v>View</v>
      </c>
    </row>
    <row r="1410" spans="1:21" ht="51">
      <c r="A1410" s="6">
        <v>43439.79787037037</v>
      </c>
      <c r="B1410" s="7" t="str">
        <f>HYPERLINK("https://twitter.com/docus280754","@docus280754")</f>
        <v>@docus280754</v>
      </c>
      <c r="C1410" s="8" t="s">
        <v>4756</v>
      </c>
      <c r="D1410" s="9" t="s">
        <v>4757</v>
      </c>
      <c r="E1410" s="10" t="str">
        <f>HYPERLINK("https://twitter.com/docus280754/status/1070379510829330433","1070379510829330433")</f>
        <v>1070379510829330433</v>
      </c>
      <c r="F1410" s="11"/>
      <c r="G1410" s="13" t="s">
        <v>4758</v>
      </c>
      <c r="H1410" s="11"/>
      <c r="I1410" s="14">
        <v>1</v>
      </c>
      <c r="J1410" s="14">
        <v>0</v>
      </c>
      <c r="K1410" s="15" t="str">
        <f t="shared" si="289"/>
        <v>Twitter for iPhone</v>
      </c>
      <c r="L1410" s="14">
        <v>990</v>
      </c>
      <c r="M1410" s="14">
        <v>923</v>
      </c>
      <c r="N1410" s="14">
        <v>14</v>
      </c>
      <c r="O1410" s="16"/>
      <c r="P1410" s="6">
        <v>40819.533587962964</v>
      </c>
      <c r="Q1410" s="12" t="s">
        <v>4759</v>
      </c>
      <c r="R1410" s="17" t="s">
        <v>4760</v>
      </c>
      <c r="S1410" s="11"/>
      <c r="T1410" s="11"/>
      <c r="U1410" s="10" t="str">
        <f>HYPERLINK("https://pbs.twimg.com/profile_images/690561953476034560/2eE5gtd0.jpg","View")</f>
        <v>View</v>
      </c>
    </row>
    <row r="1411" spans="1:21" ht="40.799999999999997">
      <c r="A1411" s="6">
        <v>43439.797662037032</v>
      </c>
      <c r="B1411" s="7" t="str">
        <f>HYPERLINK("https://twitter.com/JuanTanamera4","@JuanTanamera4")</f>
        <v>@JuanTanamera4</v>
      </c>
      <c r="C1411" s="8" t="s">
        <v>5651</v>
      </c>
      <c r="D1411" s="9" t="s">
        <v>5652</v>
      </c>
      <c r="E1411" s="10" t="str">
        <f>HYPERLINK("https://twitter.com/JuanTanamera4/status/1070379433670909952","1070379433670909952")</f>
        <v>1070379433670909952</v>
      </c>
      <c r="F1411" s="11"/>
      <c r="G1411" s="11"/>
      <c r="H1411" s="11"/>
      <c r="I1411" s="14">
        <v>0</v>
      </c>
      <c r="J1411" s="14">
        <v>0</v>
      </c>
      <c r="K1411" s="15" t="str">
        <f>HYPERLINK("http://twitter.com/download/android","Twitter for Android")</f>
        <v>Twitter for Android</v>
      </c>
      <c r="L1411" s="14">
        <v>728</v>
      </c>
      <c r="M1411" s="14">
        <v>880</v>
      </c>
      <c r="N1411" s="14">
        <v>2</v>
      </c>
      <c r="O1411" s="16"/>
      <c r="P1411" s="6">
        <v>43010.91201388889</v>
      </c>
      <c r="Q1411" s="12" t="s">
        <v>5653</v>
      </c>
      <c r="R1411" s="17" t="s">
        <v>5654</v>
      </c>
      <c r="S1411" s="11"/>
      <c r="T1411" s="11"/>
      <c r="U1411" s="10" t="str">
        <f>HYPERLINK("https://pbs.twimg.com/profile_images/931157711491911685/9paKHmFx.jpg","View")</f>
        <v>View</v>
      </c>
    </row>
    <row r="1412" spans="1:21" ht="61.2">
      <c r="A1412" s="6">
        <v>43439.797418981485</v>
      </c>
      <c r="B1412" s="7" t="str">
        <f>HYPERLINK("https://twitter.com/carlxsamo","@carlxsamo")</f>
        <v>@carlxsamo</v>
      </c>
      <c r="C1412" s="8" t="s">
        <v>4762</v>
      </c>
      <c r="D1412" s="9" t="s">
        <v>4763</v>
      </c>
      <c r="E1412" s="10" t="str">
        <f>HYPERLINK("https://twitter.com/carlxsamo/status/1070379346878173189","1070379346878173189")</f>
        <v>1070379346878173189</v>
      </c>
      <c r="F1412" s="11"/>
      <c r="G1412" s="11"/>
      <c r="H1412" s="11"/>
      <c r="I1412" s="14">
        <v>0</v>
      </c>
      <c r="J1412" s="14">
        <v>0</v>
      </c>
      <c r="K1412" s="15" t="str">
        <f>HYPERLINK("http://twitter.com","Twitter Web Client")</f>
        <v>Twitter Web Client</v>
      </c>
      <c r="L1412" s="14">
        <v>1361</v>
      </c>
      <c r="M1412" s="14">
        <v>2076</v>
      </c>
      <c r="N1412" s="14">
        <v>60</v>
      </c>
      <c r="O1412" s="16"/>
      <c r="P1412" s="6">
        <v>40944.532256944447</v>
      </c>
      <c r="Q1412" s="12" t="s">
        <v>4766</v>
      </c>
      <c r="R1412" s="17" t="s">
        <v>4767</v>
      </c>
      <c r="S1412" s="13" t="s">
        <v>4768</v>
      </c>
      <c r="T1412" s="11"/>
      <c r="U1412" s="10" t="str">
        <f>HYPERLINK("https://pbs.twimg.com/profile_images/1047107402326319104/tkZwV8D_.jpg","View")</f>
        <v>View</v>
      </c>
    </row>
    <row r="1413" spans="1:21" ht="51">
      <c r="A1413" s="6">
        <v>43439.797384259262</v>
      </c>
      <c r="B1413" s="7" t="str">
        <f>HYPERLINK("https://twitter.com/laurargug","@laurargug")</f>
        <v>@laurargug</v>
      </c>
      <c r="C1413" s="8" t="s">
        <v>1467</v>
      </c>
      <c r="D1413" s="9" t="s">
        <v>4769</v>
      </c>
      <c r="E1413" s="10" t="str">
        <f>HYPERLINK("https://twitter.com/laurargug/status/1070379332756037632","1070379332756037632")</f>
        <v>1070379332756037632</v>
      </c>
      <c r="F1413" s="11"/>
      <c r="G1413" s="11"/>
      <c r="H1413" s="11"/>
      <c r="I1413" s="14">
        <v>0</v>
      </c>
      <c r="J1413" s="14">
        <v>0</v>
      </c>
      <c r="K1413" s="15" t="str">
        <f t="shared" ref="K1413:K1418" si="290">HYPERLINK("http://twitter.com/download/android","Twitter for Android")</f>
        <v>Twitter for Android</v>
      </c>
      <c r="L1413" s="14">
        <v>686</v>
      </c>
      <c r="M1413" s="14">
        <v>183</v>
      </c>
      <c r="N1413" s="14">
        <v>11</v>
      </c>
      <c r="O1413" s="16"/>
      <c r="P1413" s="6">
        <v>42345.91715277778</v>
      </c>
      <c r="Q1413" s="11"/>
      <c r="R1413" s="17" t="s">
        <v>4772</v>
      </c>
      <c r="S1413" s="11"/>
      <c r="T1413" s="11"/>
      <c r="U1413" s="10" t="str">
        <f>HYPERLINK("https://pbs.twimg.com/profile_images/724289574722252801/79pTtzxF.jpg","View")</f>
        <v>View</v>
      </c>
    </row>
    <row r="1414" spans="1:21" ht="51">
      <c r="A1414" s="6">
        <v>43439.797337962962</v>
      </c>
      <c r="B1414" s="7" t="str">
        <f>HYPERLINK("https://twitter.com/josegallardoiz1","@josegallardoiz1")</f>
        <v>@josegallardoiz1</v>
      </c>
      <c r="C1414" s="8" t="s">
        <v>5661</v>
      </c>
      <c r="D1414" s="9" t="s">
        <v>5662</v>
      </c>
      <c r="E1414" s="10" t="str">
        <f>HYPERLINK("https://twitter.com/josegallardoiz1/status/1070379318839267330","1070379318839267330")</f>
        <v>1070379318839267330</v>
      </c>
      <c r="F1414" s="11"/>
      <c r="G1414" s="11"/>
      <c r="H1414" s="11"/>
      <c r="I1414" s="14">
        <v>0</v>
      </c>
      <c r="J1414" s="14">
        <v>0</v>
      </c>
      <c r="K1414" s="15" t="str">
        <f t="shared" si="290"/>
        <v>Twitter for Android</v>
      </c>
      <c r="L1414" s="14">
        <v>15</v>
      </c>
      <c r="M1414" s="14">
        <v>9</v>
      </c>
      <c r="N1414" s="14">
        <v>0</v>
      </c>
      <c r="O1414" s="16"/>
      <c r="P1414" s="6">
        <v>41876.895543981482</v>
      </c>
      <c r="Q1414" s="11"/>
      <c r="R1414" s="18"/>
      <c r="S1414" s="11"/>
      <c r="T1414" s="11"/>
      <c r="U1414" s="19" t="s">
        <v>629</v>
      </c>
    </row>
    <row r="1415" spans="1:21" ht="81.599999999999994">
      <c r="A1415" s="6">
        <v>43439.797280092593</v>
      </c>
      <c r="B1415" s="7" t="str">
        <f>HYPERLINK("https://twitter.com/redondojosh","@redondojosh")</f>
        <v>@redondojosh</v>
      </c>
      <c r="C1415" s="8" t="s">
        <v>4773</v>
      </c>
      <c r="D1415" s="9" t="s">
        <v>4774</v>
      </c>
      <c r="E1415" s="10" t="str">
        <f>HYPERLINK("https://twitter.com/redondojosh/status/1070379295871250433","1070379295871250433")</f>
        <v>1070379295871250433</v>
      </c>
      <c r="F1415" s="13" t="s">
        <v>3908</v>
      </c>
      <c r="G1415" s="13" t="s">
        <v>3911</v>
      </c>
      <c r="H1415" s="11"/>
      <c r="I1415" s="14">
        <v>2</v>
      </c>
      <c r="J1415" s="14">
        <v>1</v>
      </c>
      <c r="K1415" s="15" t="str">
        <f t="shared" si="290"/>
        <v>Twitter for Android</v>
      </c>
      <c r="L1415" s="14">
        <v>548</v>
      </c>
      <c r="M1415" s="14">
        <v>509</v>
      </c>
      <c r="N1415" s="14">
        <v>48</v>
      </c>
      <c r="O1415" s="16"/>
      <c r="P1415" s="6">
        <v>41033.686203703706</v>
      </c>
      <c r="Q1415" s="12" t="s">
        <v>508</v>
      </c>
      <c r="R1415" s="17" t="s">
        <v>4775</v>
      </c>
      <c r="S1415" s="11"/>
      <c r="T1415" s="11"/>
      <c r="U1415" s="10" t="str">
        <f>HYPERLINK("https://pbs.twimg.com/profile_images/1029366468507521029/cFE2hLlj.jpg","View")</f>
        <v>View</v>
      </c>
    </row>
    <row r="1416" spans="1:21" ht="51">
      <c r="A1416" s="6">
        <v>43439.796631944446</v>
      </c>
      <c r="B1416" s="7" t="str">
        <f>HYPERLINK("https://twitter.com/tonitj3","@tonitj3")</f>
        <v>@tonitj3</v>
      </c>
      <c r="C1416" s="8" t="s">
        <v>701</v>
      </c>
      <c r="D1416" s="9" t="s">
        <v>4776</v>
      </c>
      <c r="E1416" s="10" t="str">
        <f>HYPERLINK("https://twitter.com/tonitj3/status/1070379063020281856","1070379063020281856")</f>
        <v>1070379063020281856</v>
      </c>
      <c r="F1416" s="11"/>
      <c r="G1416" s="13" t="s">
        <v>4777</v>
      </c>
      <c r="H1416" s="11"/>
      <c r="I1416" s="14">
        <v>0</v>
      </c>
      <c r="J1416" s="14">
        <v>1</v>
      </c>
      <c r="K1416" s="15" t="str">
        <f t="shared" si="290"/>
        <v>Twitter for Android</v>
      </c>
      <c r="L1416" s="14">
        <v>8222</v>
      </c>
      <c r="M1416" s="14">
        <v>6977</v>
      </c>
      <c r="N1416" s="14">
        <v>39</v>
      </c>
      <c r="O1416" s="16"/>
      <c r="P1416" s="6">
        <v>41836.145266203705</v>
      </c>
      <c r="Q1416" s="12" t="s">
        <v>704</v>
      </c>
      <c r="R1416" s="17" t="s">
        <v>705</v>
      </c>
      <c r="S1416" s="13" t="s">
        <v>706</v>
      </c>
      <c r="T1416" s="11"/>
      <c r="U1416" s="10" t="str">
        <f>HYPERLINK("https://pbs.twimg.com/profile_images/1070654036418932738/z_9Hosnl.jpg","View")</f>
        <v>View</v>
      </c>
    </row>
    <row r="1417" spans="1:21" ht="30.6">
      <c r="A1417" s="6">
        <v>43439.795833333337</v>
      </c>
      <c r="B1417" s="7" t="str">
        <f>HYPERLINK("https://twitter.com/CristinaBovery","@CristinaBovery")</f>
        <v>@CristinaBovery</v>
      </c>
      <c r="C1417" s="8" t="s">
        <v>5669</v>
      </c>
      <c r="D1417" s="9" t="s">
        <v>5670</v>
      </c>
      <c r="E1417" s="10" t="str">
        <f>HYPERLINK("https://twitter.com/CristinaBovery/status/1070378772455673858","1070378772455673858")</f>
        <v>1070378772455673858</v>
      </c>
      <c r="F1417" s="11"/>
      <c r="G1417" s="11"/>
      <c r="H1417" s="11"/>
      <c r="I1417" s="14">
        <v>0</v>
      </c>
      <c r="J1417" s="14">
        <v>1</v>
      </c>
      <c r="K1417" s="15" t="str">
        <f t="shared" si="290"/>
        <v>Twitter for Android</v>
      </c>
      <c r="L1417" s="14">
        <v>457</v>
      </c>
      <c r="M1417" s="14">
        <v>593</v>
      </c>
      <c r="N1417" s="14">
        <v>18</v>
      </c>
      <c r="O1417" s="16"/>
      <c r="P1417" s="6">
        <v>40493.50277777778</v>
      </c>
      <c r="Q1417" s="12" t="s">
        <v>5671</v>
      </c>
      <c r="R1417" s="17" t="s">
        <v>5672</v>
      </c>
      <c r="S1417" s="11"/>
      <c r="T1417" s="11"/>
      <c r="U1417" s="10" t="str">
        <f>HYPERLINK("https://pbs.twimg.com/profile_images/1037811041823010817/qO8ME880.jpg","View")</f>
        <v>View</v>
      </c>
    </row>
    <row r="1418" spans="1:21" ht="30.6">
      <c r="A1418" s="6">
        <v>43439.795057870375</v>
      </c>
      <c r="B1418" s="7" t="str">
        <f>HYPERLINK("https://twitter.com/RuthLortzing","@RuthLortzing")</f>
        <v>@RuthLortzing</v>
      </c>
      <c r="C1418" s="8" t="s">
        <v>4778</v>
      </c>
      <c r="D1418" s="9" t="s">
        <v>4779</v>
      </c>
      <c r="E1418" s="10" t="str">
        <f>HYPERLINK("https://twitter.com/RuthLortzing/status/1070378492666142720","1070378492666142720")</f>
        <v>1070378492666142720</v>
      </c>
      <c r="F1418" s="11"/>
      <c r="G1418" s="11"/>
      <c r="H1418" s="11"/>
      <c r="I1418" s="14">
        <v>0</v>
      </c>
      <c r="J1418" s="14">
        <v>0</v>
      </c>
      <c r="K1418" s="15" t="str">
        <f t="shared" si="290"/>
        <v>Twitter for Android</v>
      </c>
      <c r="L1418" s="14">
        <v>644</v>
      </c>
      <c r="M1418" s="14">
        <v>1224</v>
      </c>
      <c r="N1418" s="14">
        <v>13</v>
      </c>
      <c r="O1418" s="16"/>
      <c r="P1418" s="6">
        <v>40157.826296296298</v>
      </c>
      <c r="Q1418" s="12" t="s">
        <v>29</v>
      </c>
      <c r="R1418" s="17" t="s">
        <v>4781</v>
      </c>
      <c r="S1418" s="11"/>
      <c r="T1418" s="11"/>
      <c r="U1418" s="10" t="str">
        <f>HYPERLINK("https://pbs.twimg.com/profile_images/1049669704112070656/mPItB6Vk.jpg","View")</f>
        <v>View</v>
      </c>
    </row>
    <row r="1419" spans="1:21" ht="40.799999999999997">
      <c r="A1419" s="6">
        <v>43439.794895833329</v>
      </c>
      <c r="B1419" s="7" t="str">
        <f>HYPERLINK("https://twitter.com/jj4lejandro","@jj4lejandro")</f>
        <v>@jj4lejandro</v>
      </c>
      <c r="C1419" s="8" t="s">
        <v>5677</v>
      </c>
      <c r="D1419" s="9" t="s">
        <v>5678</v>
      </c>
      <c r="E1419" s="10" t="str">
        <f>HYPERLINK("https://twitter.com/jj4lejandro/status/1070378430783467525","1070378430783467525")</f>
        <v>1070378430783467525</v>
      </c>
      <c r="F1419" s="11"/>
      <c r="G1419" s="11"/>
      <c r="H1419" s="11"/>
      <c r="I1419" s="14">
        <v>1</v>
      </c>
      <c r="J1419" s="14">
        <v>0</v>
      </c>
      <c r="K1419" s="15" t="str">
        <f>HYPERLINK("http://twitter.com/download/iphone","Twitter for iPhone")</f>
        <v>Twitter for iPhone</v>
      </c>
      <c r="L1419" s="14">
        <v>162</v>
      </c>
      <c r="M1419" s="14">
        <v>371</v>
      </c>
      <c r="N1419" s="14">
        <v>1</v>
      </c>
      <c r="O1419" s="16"/>
      <c r="P1419" s="6">
        <v>43244.769988425927</v>
      </c>
      <c r="Q1419" s="12" t="s">
        <v>5681</v>
      </c>
      <c r="R1419" s="17" t="s">
        <v>5682</v>
      </c>
      <c r="S1419" s="11"/>
      <c r="T1419" s="11"/>
      <c r="U1419" s="10" t="str">
        <f>HYPERLINK("https://pbs.twimg.com/profile_images/1069318060987875329/wVubChFp.jpg","View")</f>
        <v>View</v>
      </c>
    </row>
    <row r="1420" spans="1:21" ht="51">
      <c r="A1420" s="6">
        <v>43439.794687500005</v>
      </c>
      <c r="B1420" s="7" t="str">
        <f>HYPERLINK("https://twitter.com/_albertt_","@_albertt_")</f>
        <v>@_albertt_</v>
      </c>
      <c r="C1420" s="8" t="s">
        <v>4784</v>
      </c>
      <c r="D1420" s="9" t="s">
        <v>4785</v>
      </c>
      <c r="E1420" s="10" t="str">
        <f>HYPERLINK("https://twitter.com/_albertt_/status/1070378358326861824","1070378358326861824")</f>
        <v>1070378358326861824</v>
      </c>
      <c r="F1420" s="11"/>
      <c r="G1420" s="11"/>
      <c r="H1420" s="11"/>
      <c r="I1420" s="14">
        <v>0</v>
      </c>
      <c r="J1420" s="14">
        <v>0</v>
      </c>
      <c r="K1420" s="15" t="str">
        <f>HYPERLINK("http://twitter.com/download/android","Twitter for Android")</f>
        <v>Twitter for Android</v>
      </c>
      <c r="L1420" s="14">
        <v>429</v>
      </c>
      <c r="M1420" s="14">
        <v>339</v>
      </c>
      <c r="N1420" s="14">
        <v>8</v>
      </c>
      <c r="O1420" s="16"/>
      <c r="P1420" s="6">
        <v>40409.549618055556</v>
      </c>
      <c r="Q1420" s="12" t="s">
        <v>4788</v>
      </c>
      <c r="R1420" s="17" t="s">
        <v>4789</v>
      </c>
      <c r="S1420" s="11"/>
      <c r="T1420" s="11"/>
      <c r="U1420" s="10" t="str">
        <f>HYPERLINK("https://pbs.twimg.com/profile_images/877282513416327169/yzx_6OVx.jpg","View")</f>
        <v>View</v>
      </c>
    </row>
    <row r="1421" spans="1:21" ht="81.599999999999994">
      <c r="A1421" s="6">
        <v>43439.794594907406</v>
      </c>
      <c r="B1421" s="7" t="str">
        <f>HYPERLINK("https://twitter.com/cafexpres","@cafexpres")</f>
        <v>@cafexpres</v>
      </c>
      <c r="C1421" s="8" t="s">
        <v>3686</v>
      </c>
      <c r="D1421" s="9" t="s">
        <v>4790</v>
      </c>
      <c r="E1421" s="10" t="str">
        <f>HYPERLINK("https://twitter.com/cafexpres/status/1070378323107307520","1070378323107307520")</f>
        <v>1070378323107307520</v>
      </c>
      <c r="F1421" s="13" t="s">
        <v>4791</v>
      </c>
      <c r="G1421" s="11"/>
      <c r="H1421" s="11"/>
      <c r="I1421" s="14">
        <v>1</v>
      </c>
      <c r="J1421" s="14">
        <v>1</v>
      </c>
      <c r="K1421" s="15" t="str">
        <f>HYPERLINK("https://mobile.twitter.com","Twitter Lite")</f>
        <v>Twitter Lite</v>
      </c>
      <c r="L1421" s="14">
        <v>2191</v>
      </c>
      <c r="M1421" s="14">
        <v>2576</v>
      </c>
      <c r="N1421" s="14">
        <v>21</v>
      </c>
      <c r="O1421" s="16"/>
      <c r="P1421" s="6">
        <v>40744.710173611107</v>
      </c>
      <c r="Q1421" s="11"/>
      <c r="R1421" s="17" t="s">
        <v>3692</v>
      </c>
      <c r="S1421" s="11"/>
      <c r="T1421" s="11"/>
      <c r="U1421" s="10" t="str">
        <f>HYPERLINK("https://pbs.twimg.com/profile_images/679830543354171392/1HlU6W9K.jpg","View")</f>
        <v>View</v>
      </c>
    </row>
    <row r="1422" spans="1:21" ht="102">
      <c r="A1422" s="6">
        <v>43439.794189814813</v>
      </c>
      <c r="B1422" s="7" t="str">
        <f>HYPERLINK("https://twitter.com/BluetruthCom","@BluetruthCom")</f>
        <v>@BluetruthCom</v>
      </c>
      <c r="C1422" s="8" t="s">
        <v>4792</v>
      </c>
      <c r="D1422" s="9" t="s">
        <v>4793</v>
      </c>
      <c r="E1422" s="10" t="str">
        <f>HYPERLINK("https://twitter.com/BluetruthCom/status/1070378177577529344","1070378177577529344")</f>
        <v>1070378177577529344</v>
      </c>
      <c r="F1422" s="12" t="s">
        <v>4794</v>
      </c>
      <c r="G1422" s="11"/>
      <c r="H1422" s="11"/>
      <c r="I1422" s="14">
        <v>1</v>
      </c>
      <c r="J1422" s="14">
        <v>1</v>
      </c>
      <c r="K1422" s="15" t="str">
        <f>HYPERLINK("http://twitter.com","Twitter Web Client")</f>
        <v>Twitter Web Client</v>
      </c>
      <c r="L1422" s="14">
        <v>210</v>
      </c>
      <c r="M1422" s="14">
        <v>475</v>
      </c>
      <c r="N1422" s="14">
        <v>5</v>
      </c>
      <c r="O1422" s="16"/>
      <c r="P1422" s="6">
        <v>41186.909004629633</v>
      </c>
      <c r="Q1422" s="12" t="s">
        <v>1695</v>
      </c>
      <c r="R1422" s="17" t="s">
        <v>4795</v>
      </c>
      <c r="S1422" s="11"/>
      <c r="T1422" s="11"/>
      <c r="U1422" s="10" t="str">
        <f>HYPERLINK("https://pbs.twimg.com/profile_images/1007975507193942016/vaishrvW.jpg","View")</f>
        <v>View</v>
      </c>
    </row>
    <row r="1423" spans="1:21" ht="30.6">
      <c r="A1423" s="6">
        <v>43439.794178240743</v>
      </c>
      <c r="B1423" s="7" t="str">
        <f>HYPERLINK("https://twitter.com/Jsolsona77","@Jsolsona77")</f>
        <v>@Jsolsona77</v>
      </c>
      <c r="C1423" s="8" t="s">
        <v>5689</v>
      </c>
      <c r="D1423" s="9" t="s">
        <v>5690</v>
      </c>
      <c r="E1423" s="10" t="str">
        <f>HYPERLINK("https://twitter.com/Jsolsona77/status/1070378171185446915","1070378171185446915")</f>
        <v>1070378171185446915</v>
      </c>
      <c r="F1423" s="13" t="s">
        <v>4089</v>
      </c>
      <c r="G1423" s="11"/>
      <c r="H1423" s="11"/>
      <c r="I1423" s="14">
        <v>0</v>
      </c>
      <c r="J1423" s="14">
        <v>0</v>
      </c>
      <c r="K1423" s="15" t="str">
        <f>HYPERLINK("http://twitter.com/download/iphone","Twitter for iPhone")</f>
        <v>Twitter for iPhone</v>
      </c>
      <c r="L1423" s="14">
        <v>77</v>
      </c>
      <c r="M1423" s="14">
        <v>232</v>
      </c>
      <c r="N1423" s="14">
        <v>0</v>
      </c>
      <c r="O1423" s="16"/>
      <c r="P1423" s="6">
        <v>40840.794189814813</v>
      </c>
      <c r="Q1423" s="12" t="s">
        <v>581</v>
      </c>
      <c r="R1423" s="17" t="s">
        <v>5691</v>
      </c>
      <c r="S1423" s="11"/>
      <c r="T1423" s="11"/>
      <c r="U1423" s="10" t="str">
        <f>HYPERLINK("https://pbs.twimg.com/profile_images/2702428149/bc89db3cb4c07f605ace206dc3c717bd.jpeg","View")</f>
        <v>View</v>
      </c>
    </row>
    <row r="1424" spans="1:21" ht="30.6">
      <c r="A1424" s="6">
        <v>43439.793935185182</v>
      </c>
      <c r="B1424" s="7" t="str">
        <f>HYPERLINK("https://twitter.com/Senguix","@Senguix")</f>
        <v>@Senguix</v>
      </c>
      <c r="C1424" s="8" t="s">
        <v>5692</v>
      </c>
      <c r="D1424" s="9" t="s">
        <v>4134</v>
      </c>
      <c r="E1424" s="10" t="str">
        <f>HYPERLINK("https://twitter.com/Senguix/status/1070378084413652992","1070378084413652992")</f>
        <v>1070378084413652992</v>
      </c>
      <c r="F1424" s="13" t="s">
        <v>4135</v>
      </c>
      <c r="G1424" s="11"/>
      <c r="H1424" s="11"/>
      <c r="I1424" s="14">
        <v>0</v>
      </c>
      <c r="J1424" s="14">
        <v>0</v>
      </c>
      <c r="K1424" s="15" t="str">
        <f>HYPERLINK("http://twitter.com/download/android","Twitter for Android")</f>
        <v>Twitter for Android</v>
      </c>
      <c r="L1424" s="14">
        <v>8662</v>
      </c>
      <c r="M1424" s="14">
        <v>1134</v>
      </c>
      <c r="N1424" s="14">
        <v>217</v>
      </c>
      <c r="O1424" s="16"/>
      <c r="P1424" s="6">
        <v>40233.020787037036</v>
      </c>
      <c r="Q1424" s="12" t="s">
        <v>1928</v>
      </c>
      <c r="R1424" s="17" t="s">
        <v>5693</v>
      </c>
      <c r="S1424" s="11"/>
      <c r="T1424" s="11"/>
      <c r="U1424" s="10" t="str">
        <f>HYPERLINK("https://pbs.twimg.com/profile_images/816875847772762112/bLQeivTf.jpg","View")</f>
        <v>View</v>
      </c>
    </row>
    <row r="1425" spans="1:21" ht="40.799999999999997">
      <c r="A1425" s="6">
        <v>43439.793923611112</v>
      </c>
      <c r="B1425" s="7" t="str">
        <f>HYPERLINK("https://twitter.com/fsierra","@fsierra")</f>
        <v>@fsierra</v>
      </c>
      <c r="C1425" s="8" t="s">
        <v>4798</v>
      </c>
      <c r="D1425" s="9" t="s">
        <v>4799</v>
      </c>
      <c r="E1425" s="10" t="str">
        <f>HYPERLINK("https://twitter.com/fsierra/status/1070378080567521285","1070378080567521285")</f>
        <v>1070378080567521285</v>
      </c>
      <c r="F1425" s="11"/>
      <c r="G1425" s="11"/>
      <c r="H1425" s="11"/>
      <c r="I1425" s="14">
        <v>1</v>
      </c>
      <c r="J1425" s="14">
        <v>4</v>
      </c>
      <c r="K1425" s="15" t="str">
        <f>HYPERLINK("http://twitter.com","Twitter Web Client")</f>
        <v>Twitter Web Client</v>
      </c>
      <c r="L1425" s="14">
        <v>12825</v>
      </c>
      <c r="M1425" s="14">
        <v>999</v>
      </c>
      <c r="N1425" s="14">
        <v>293</v>
      </c>
      <c r="O1425" s="19" t="s">
        <v>42</v>
      </c>
      <c r="P1425" s="6">
        <v>39763.590995370367</v>
      </c>
      <c r="Q1425" s="12" t="s">
        <v>508</v>
      </c>
      <c r="R1425" s="17" t="s">
        <v>4802</v>
      </c>
      <c r="S1425" s="13" t="s">
        <v>4803</v>
      </c>
      <c r="T1425" s="11"/>
      <c r="U1425" s="10" t="str">
        <f>HYPERLINK("https://pbs.twimg.com/profile_images/805568299459346432/Pfm5GNCt.jpg","View")</f>
        <v>View</v>
      </c>
    </row>
    <row r="1426" spans="1:21" ht="51">
      <c r="A1426" s="6">
        <v>43439.79305555555</v>
      </c>
      <c r="B1426" s="7" t="str">
        <f>HYPERLINK("https://twitter.com/bitMomentum","@bitMomentum")</f>
        <v>@bitMomentum</v>
      </c>
      <c r="C1426" s="8" t="s">
        <v>1889</v>
      </c>
      <c r="D1426" s="9" t="s">
        <v>4805</v>
      </c>
      <c r="E1426" s="10" t="str">
        <f>HYPERLINK("https://twitter.com/bitMomentum/status/1070377763478138885","1070377763478138885")</f>
        <v>1070377763478138885</v>
      </c>
      <c r="F1426" s="11"/>
      <c r="G1426" s="11"/>
      <c r="H1426" s="11"/>
      <c r="I1426" s="14">
        <v>0</v>
      </c>
      <c r="J1426" s="14">
        <v>0</v>
      </c>
      <c r="K1426" s="15" t="str">
        <f>HYPERLINK("http://www.bitmomentum.com","bitMomentum Bot")</f>
        <v>bitMomentum Bot</v>
      </c>
      <c r="L1426" s="14">
        <v>10254</v>
      </c>
      <c r="M1426" s="14">
        <v>1059</v>
      </c>
      <c r="N1426" s="14">
        <v>263</v>
      </c>
      <c r="O1426" s="16"/>
      <c r="P1426" s="6">
        <v>41608.667511574073</v>
      </c>
      <c r="Q1426" s="11"/>
      <c r="R1426" s="17" t="s">
        <v>1897</v>
      </c>
      <c r="S1426" s="13" t="s">
        <v>1898</v>
      </c>
      <c r="T1426" s="11"/>
      <c r="U1426" s="10" t="str">
        <f>HYPERLINK("https://pbs.twimg.com/profile_images/378800000862185241/20ij2H3u.png","View")</f>
        <v>View</v>
      </c>
    </row>
    <row r="1427" spans="1:21" ht="20.399999999999999">
      <c r="A1427" s="6">
        <v>43439.792754629627</v>
      </c>
      <c r="B1427" s="7" t="str">
        <f>HYPERLINK("https://twitter.com/DiegoSa05692942","@DiegoSa05692942")</f>
        <v>@DiegoSa05692942</v>
      </c>
      <c r="C1427" s="8" t="s">
        <v>5702</v>
      </c>
      <c r="D1427" s="9" t="s">
        <v>4269</v>
      </c>
      <c r="E1427" s="10" t="str">
        <f>HYPERLINK("https://twitter.com/DiegoSa05692942/status/1070377657307684865","1070377657307684865")</f>
        <v>1070377657307684865</v>
      </c>
      <c r="F1427" s="13" t="s">
        <v>4270</v>
      </c>
      <c r="G1427" s="11"/>
      <c r="H1427" s="11"/>
      <c r="I1427" s="14">
        <v>0</v>
      </c>
      <c r="J1427" s="14">
        <v>0</v>
      </c>
      <c r="K1427" s="15" t="str">
        <f>HYPERLINK("http://twitter.com","Twitter Web Client")</f>
        <v>Twitter Web Client</v>
      </c>
      <c r="L1427" s="14">
        <v>15</v>
      </c>
      <c r="M1427" s="14">
        <v>82</v>
      </c>
      <c r="N1427" s="14">
        <v>0</v>
      </c>
      <c r="O1427" s="16"/>
      <c r="P1427" s="6">
        <v>42906.274733796294</v>
      </c>
      <c r="Q1427" s="12" t="s">
        <v>5703</v>
      </c>
      <c r="R1427" s="18"/>
      <c r="S1427" s="11"/>
      <c r="T1427" s="11"/>
      <c r="U1427" s="10" t="str">
        <f>HYPERLINK("https://pbs.twimg.com/profile_images/976781780853444608/Zbcc-EtG.jpg","View")</f>
        <v>View</v>
      </c>
    </row>
    <row r="1428" spans="1:21" ht="40.799999999999997">
      <c r="A1428" s="6">
        <v>43439.792453703703</v>
      </c>
      <c r="B1428" s="7" t="str">
        <f>HYPERLINK("https://twitter.com/CsManresa","@CsManresa")</f>
        <v>@CsManresa</v>
      </c>
      <c r="C1428" s="8" t="s">
        <v>4806</v>
      </c>
      <c r="D1428" s="9" t="s">
        <v>4807</v>
      </c>
      <c r="E1428" s="10" t="str">
        <f>HYPERLINK("https://twitter.com/CsManresa/status/1070377545248489472","1070377545248489472")</f>
        <v>1070377545248489472</v>
      </c>
      <c r="F1428" s="11"/>
      <c r="G1428" s="13" t="s">
        <v>4808</v>
      </c>
      <c r="H1428" s="11"/>
      <c r="I1428" s="14">
        <v>1</v>
      </c>
      <c r="J1428" s="14">
        <v>2</v>
      </c>
      <c r="K1428" s="15" t="str">
        <f t="shared" ref="K1428:K1429" si="291">HYPERLINK("http://twitter.com/download/android","Twitter for Android")</f>
        <v>Twitter for Android</v>
      </c>
      <c r="L1428" s="14">
        <v>379</v>
      </c>
      <c r="M1428" s="14">
        <v>232</v>
      </c>
      <c r="N1428" s="14">
        <v>6</v>
      </c>
      <c r="O1428" s="16"/>
      <c r="P1428" s="6">
        <v>42278.228645833333</v>
      </c>
      <c r="Q1428" s="12" t="s">
        <v>4809</v>
      </c>
      <c r="R1428" s="17" t="s">
        <v>4810</v>
      </c>
      <c r="S1428" s="13" t="s">
        <v>4811</v>
      </c>
      <c r="T1428" s="11"/>
      <c r="U1428" s="10" t="str">
        <f>HYPERLINK("https://pbs.twimg.com/profile_images/1043200134144778240/dVX1DU_K.jpg","View")</f>
        <v>View</v>
      </c>
    </row>
    <row r="1429" spans="1:21" ht="112.2">
      <c r="A1429" s="6">
        <v>43439.792384259257</v>
      </c>
      <c r="B1429" s="7" t="str">
        <f>HYPERLINK("https://twitter.com/iarsuaga","@iarsuaga")</f>
        <v>@iarsuaga</v>
      </c>
      <c r="C1429" s="8" t="s">
        <v>2898</v>
      </c>
      <c r="D1429" s="9" t="s">
        <v>4812</v>
      </c>
      <c r="E1429" s="10" t="str">
        <f>HYPERLINK("https://twitter.com/iarsuaga/status/1070377522062348288","1070377522062348288")</f>
        <v>1070377522062348288</v>
      </c>
      <c r="F1429" s="13" t="s">
        <v>1853</v>
      </c>
      <c r="G1429" s="13" t="s">
        <v>1835</v>
      </c>
      <c r="H1429" s="11"/>
      <c r="I1429" s="14">
        <v>9</v>
      </c>
      <c r="J1429" s="14">
        <v>12</v>
      </c>
      <c r="K1429" s="15" t="str">
        <f t="shared" si="291"/>
        <v>Twitter for Android</v>
      </c>
      <c r="L1429" s="14">
        <v>20745</v>
      </c>
      <c r="M1429" s="14">
        <v>1923</v>
      </c>
      <c r="N1429" s="14">
        <v>347</v>
      </c>
      <c r="O1429" s="19" t="s">
        <v>42</v>
      </c>
      <c r="P1429" s="6">
        <v>39640.030960648146</v>
      </c>
      <c r="Q1429" s="12" t="s">
        <v>119</v>
      </c>
      <c r="R1429" s="17" t="s">
        <v>2899</v>
      </c>
      <c r="S1429" s="13" t="s">
        <v>2900</v>
      </c>
      <c r="T1429" s="11"/>
      <c r="U1429" s="10" t="str">
        <f>HYPERLINK("https://pbs.twimg.com/profile_images/1009905933017931776/1LEFB4OS.jpg","View")</f>
        <v>View</v>
      </c>
    </row>
    <row r="1430" spans="1:21" ht="51">
      <c r="A1430" s="6">
        <v>43439.792361111111</v>
      </c>
      <c r="B1430" s="7" t="str">
        <f>HYPERLINK("https://twitter.com/bitMomentum","@bitMomentum")</f>
        <v>@bitMomentum</v>
      </c>
      <c r="C1430" s="8" t="s">
        <v>1889</v>
      </c>
      <c r="D1430" s="9" t="s">
        <v>4813</v>
      </c>
      <c r="E1430" s="10" t="str">
        <f>HYPERLINK("https://twitter.com/bitMomentum/status/1070377512155447296","1070377512155447296")</f>
        <v>1070377512155447296</v>
      </c>
      <c r="F1430" s="11"/>
      <c r="G1430" s="11"/>
      <c r="H1430" s="11"/>
      <c r="I1430" s="14">
        <v>0</v>
      </c>
      <c r="J1430" s="14">
        <v>0</v>
      </c>
      <c r="K1430" s="15" t="str">
        <f>HYPERLINK("http://www.bitmomentum.com","bitMomentum Bot")</f>
        <v>bitMomentum Bot</v>
      </c>
      <c r="L1430" s="14">
        <v>10254</v>
      </c>
      <c r="M1430" s="14">
        <v>1059</v>
      </c>
      <c r="N1430" s="14">
        <v>263</v>
      </c>
      <c r="O1430" s="16"/>
      <c r="P1430" s="6">
        <v>41608.667511574073</v>
      </c>
      <c r="Q1430" s="11"/>
      <c r="R1430" s="17" t="s">
        <v>1897</v>
      </c>
      <c r="S1430" s="13" t="s">
        <v>1898</v>
      </c>
      <c r="T1430" s="11"/>
      <c r="U1430" s="10" t="str">
        <f>HYPERLINK("https://pbs.twimg.com/profile_images/378800000862185241/20ij2H3u.png","View")</f>
        <v>View</v>
      </c>
    </row>
    <row r="1431" spans="1:21" ht="81.599999999999994">
      <c r="A1431" s="6">
        <v>43439.79178240741</v>
      </c>
      <c r="B1431" s="7" t="str">
        <f>HYPERLINK("https://twitter.com/AnnaDemocrata","@AnnaDemocrata")</f>
        <v>@AnnaDemocrata</v>
      </c>
      <c r="C1431" s="8" t="s">
        <v>4816</v>
      </c>
      <c r="D1431" s="9" t="s">
        <v>4817</v>
      </c>
      <c r="E1431" s="10" t="str">
        <f>HYPERLINK("https://twitter.com/AnnaDemocrata/status/1070377304872886278","1070377304872886278")</f>
        <v>1070377304872886278</v>
      </c>
      <c r="F1431" s="12" t="s">
        <v>4819</v>
      </c>
      <c r="G1431" s="11"/>
      <c r="H1431" s="11"/>
      <c r="I1431" s="14">
        <v>0</v>
      </c>
      <c r="J1431" s="14">
        <v>2</v>
      </c>
      <c r="K1431" s="15" t="str">
        <f>HYPERLINK("http://twitter.com/download/iphone","Twitter for iPhone")</f>
        <v>Twitter for iPhone</v>
      </c>
      <c r="L1431" s="14">
        <v>96</v>
      </c>
      <c r="M1431" s="14">
        <v>147</v>
      </c>
      <c r="N1431" s="14">
        <v>0</v>
      </c>
      <c r="O1431" s="16"/>
      <c r="P1431" s="6">
        <v>43013.465046296296</v>
      </c>
      <c r="Q1431" s="12" t="s">
        <v>508</v>
      </c>
      <c r="R1431" s="17" t="s">
        <v>4820</v>
      </c>
      <c r="S1431" s="11"/>
      <c r="T1431" s="11"/>
      <c r="U1431" s="10" t="str">
        <f>HYPERLINK("https://pbs.twimg.com/profile_images/965943715188629505/o5YUBLAw.jpg","View")</f>
        <v>View</v>
      </c>
    </row>
    <row r="1432" spans="1:21" ht="30.6">
      <c r="A1432" s="6">
        <v>43439.791076388894</v>
      </c>
      <c r="B1432" s="7" t="str">
        <f>HYPERLINK("https://twitter.com/negativo_stats","@negativo_stats")</f>
        <v>@negativo_stats</v>
      </c>
      <c r="C1432" s="8" t="s">
        <v>171</v>
      </c>
      <c r="D1432" s="9" t="s">
        <v>4821</v>
      </c>
      <c r="E1432" s="10" t="str">
        <f>HYPERLINK("https://twitter.com/negativo_stats/status/1070377047678160897","1070377047678160897")</f>
        <v>1070377047678160897</v>
      </c>
      <c r="F1432" s="11"/>
      <c r="G1432" s="13" t="s">
        <v>4822</v>
      </c>
      <c r="H1432" s="11"/>
      <c r="I1432" s="14">
        <v>0</v>
      </c>
      <c r="J1432" s="14">
        <v>0</v>
      </c>
      <c r="K1432" s="15" t="str">
        <f>HYPERLINK("http://kosmonautica.es","Política Negativa")</f>
        <v>Política Negativa</v>
      </c>
      <c r="L1432" s="14">
        <v>268</v>
      </c>
      <c r="M1432" s="14">
        <v>788</v>
      </c>
      <c r="N1432" s="14">
        <v>2</v>
      </c>
      <c r="O1432" s="16"/>
      <c r="P1432" s="6">
        <v>42171.770601851851</v>
      </c>
      <c r="Q1432" s="12" t="s">
        <v>60</v>
      </c>
      <c r="R1432" s="17" t="s">
        <v>174</v>
      </c>
      <c r="S1432" s="11"/>
      <c r="T1432" s="11"/>
      <c r="U1432" s="10" t="str">
        <f>HYPERLINK("https://pbs.twimg.com/profile_images/628553625984438272/e-VHyhP1.png","View")</f>
        <v>View</v>
      </c>
    </row>
    <row r="1433" spans="1:21" ht="40.799999999999997">
      <c r="A1433" s="6">
        <v>43439.791018518517</v>
      </c>
      <c r="B1433" s="7" t="str">
        <f>HYPERLINK("https://twitter.com/ManuelArtilesA","@ManuelArtilesA")</f>
        <v>@ManuelArtilesA</v>
      </c>
      <c r="C1433" s="8" t="s">
        <v>5710</v>
      </c>
      <c r="D1433" s="9" t="s">
        <v>5711</v>
      </c>
      <c r="E1433" s="10" t="str">
        <f>HYPERLINK("https://twitter.com/ManuelArtilesA/status/1070377026970742784","1070377026970742784")</f>
        <v>1070377026970742784</v>
      </c>
      <c r="F1433" s="13" t="s">
        <v>5712</v>
      </c>
      <c r="G1433" s="13" t="s">
        <v>5713</v>
      </c>
      <c r="H1433" s="11"/>
      <c r="I1433" s="14">
        <v>1</v>
      </c>
      <c r="J1433" s="14">
        <v>0</v>
      </c>
      <c r="K1433" s="15" t="str">
        <f>HYPERLINK("https://dlvrit.com/","dlvr.it")</f>
        <v>dlvr.it</v>
      </c>
      <c r="L1433" s="14">
        <v>84225</v>
      </c>
      <c r="M1433" s="14">
        <v>137</v>
      </c>
      <c r="N1433" s="14">
        <v>127</v>
      </c>
      <c r="O1433" s="19" t="s">
        <v>42</v>
      </c>
      <c r="P1433" s="6">
        <v>40603.567303240743</v>
      </c>
      <c r="Q1433" s="12" t="s">
        <v>5715</v>
      </c>
      <c r="R1433" s="17" t="s">
        <v>5716</v>
      </c>
      <c r="S1433" s="13" t="s">
        <v>5717</v>
      </c>
      <c r="T1433" s="11"/>
      <c r="U1433" s="10" t="str">
        <f>HYPERLINK("https://pbs.twimg.com/profile_images/1068592341827678208/VvM8eRh1.jpg","View")</f>
        <v>View</v>
      </c>
    </row>
    <row r="1434" spans="1:21" ht="51">
      <c r="A1434" s="6">
        <v>43439.790810185186</v>
      </c>
      <c r="B1434" s="7" t="str">
        <f>HYPERLINK("https://twitter.com/progrestona","@progrestona")</f>
        <v>@progrestona</v>
      </c>
      <c r="C1434" s="8" t="s">
        <v>5530</v>
      </c>
      <c r="D1434" s="9" t="s">
        <v>5718</v>
      </c>
      <c r="E1434" s="10" t="str">
        <f>HYPERLINK("https://twitter.com/progrestona/status/1070376949548232704","1070376949548232704")</f>
        <v>1070376949548232704</v>
      </c>
      <c r="F1434" s="11"/>
      <c r="G1434" s="11"/>
      <c r="H1434" s="11"/>
      <c r="I1434" s="14">
        <v>15</v>
      </c>
      <c r="J1434" s="14">
        <v>27</v>
      </c>
      <c r="K1434" s="15" t="str">
        <f>HYPERLINK("http://twitter.com/download/android","Twitter for Android")</f>
        <v>Twitter for Android</v>
      </c>
      <c r="L1434" s="14">
        <v>2377</v>
      </c>
      <c r="M1434" s="14">
        <v>2409</v>
      </c>
      <c r="N1434" s="14">
        <v>19</v>
      </c>
      <c r="O1434" s="16"/>
      <c r="P1434" s="6">
        <v>43331.657939814817</v>
      </c>
      <c r="Q1434" s="12" t="s">
        <v>5535</v>
      </c>
      <c r="R1434" s="17" t="s">
        <v>5536</v>
      </c>
      <c r="S1434" s="11"/>
      <c r="T1434" s="11"/>
      <c r="U1434" s="10" t="str">
        <f>HYPERLINK("https://pbs.twimg.com/profile_images/1031633850382921728/4xGXi69u.jpg","View")</f>
        <v>View</v>
      </c>
    </row>
    <row r="1435" spans="1:21" ht="30.6">
      <c r="A1435" s="6">
        <v>43439.790648148148</v>
      </c>
      <c r="B1435" s="7" t="str">
        <f>HYPERLINK("https://twitter.com/pachetore","@pachetore")</f>
        <v>@pachetore</v>
      </c>
      <c r="C1435" s="8" t="s">
        <v>5720</v>
      </c>
      <c r="D1435" s="9" t="s">
        <v>5721</v>
      </c>
      <c r="E1435" s="10" t="str">
        <f>HYPERLINK("https://twitter.com/pachetore/status/1070376893294227462","1070376893294227462")</f>
        <v>1070376893294227462</v>
      </c>
      <c r="F1435" s="13" t="s">
        <v>5723</v>
      </c>
      <c r="G1435" s="11"/>
      <c r="H1435" s="11"/>
      <c r="I1435" s="14">
        <v>0</v>
      </c>
      <c r="J1435" s="14">
        <v>0</v>
      </c>
      <c r="K1435" s="15" t="str">
        <f>HYPERLINK("http://twitter.com","Twitter Web Client")</f>
        <v>Twitter Web Client</v>
      </c>
      <c r="L1435" s="14">
        <v>93</v>
      </c>
      <c r="M1435" s="14">
        <v>253</v>
      </c>
      <c r="N1435" s="14">
        <v>2</v>
      </c>
      <c r="O1435" s="16"/>
      <c r="P1435" s="6">
        <v>40529.081122685187</v>
      </c>
      <c r="Q1435" s="12" t="s">
        <v>5724</v>
      </c>
      <c r="R1435" s="18"/>
      <c r="S1435" s="11"/>
      <c r="T1435" s="11"/>
      <c r="U1435" s="10" t="str">
        <f>HYPERLINK("https://pbs.twimg.com/profile_images/2872412660/3e2a244bac166d65a46c944c1fcfa73b.png","View")</f>
        <v>View</v>
      </c>
    </row>
    <row r="1436" spans="1:21" ht="40.799999999999997">
      <c r="A1436" s="6">
        <v>43439.789537037039</v>
      </c>
      <c r="B1436" s="7" t="str">
        <f>HYPERLINK("https://twitter.com/Societatcc","@Societatcc")</f>
        <v>@Societatcc</v>
      </c>
      <c r="C1436" s="8" t="s">
        <v>4823</v>
      </c>
      <c r="D1436" s="9" t="s">
        <v>4824</v>
      </c>
      <c r="E1436" s="10" t="str">
        <f>HYPERLINK("https://twitter.com/Societatcc/status/1070376490498490368","1070376490498490368")</f>
        <v>1070376490498490368</v>
      </c>
      <c r="F1436" s="13" t="s">
        <v>4825</v>
      </c>
      <c r="G1436" s="13" t="s">
        <v>4826</v>
      </c>
      <c r="H1436" s="11"/>
      <c r="I1436" s="14">
        <v>36</v>
      </c>
      <c r="J1436" s="14">
        <v>76</v>
      </c>
      <c r="K1436" s="15" t="str">
        <f t="shared" ref="K1436:K1437" si="292">HYPERLINK("http://twitter.com/download/android","Twitter for Android")</f>
        <v>Twitter for Android</v>
      </c>
      <c r="L1436" s="14">
        <v>62874</v>
      </c>
      <c r="M1436" s="14">
        <v>1167</v>
      </c>
      <c r="N1436" s="14">
        <v>562</v>
      </c>
      <c r="O1436" s="16"/>
      <c r="P1436" s="6">
        <v>41734.97625</v>
      </c>
      <c r="Q1436" s="12" t="s">
        <v>581</v>
      </c>
      <c r="R1436" s="17" t="s">
        <v>4827</v>
      </c>
      <c r="S1436" s="13" t="s">
        <v>4828</v>
      </c>
      <c r="T1436" s="11"/>
      <c r="U1436" s="10" t="str">
        <f>HYPERLINK("https://pbs.twimg.com/profile_images/978244429634031616/hmmNIW2e.jpg","View")</f>
        <v>View</v>
      </c>
    </row>
    <row r="1437" spans="1:21" ht="30.6">
      <c r="A1437" s="6">
        <v>43439.789085648154</v>
      </c>
      <c r="B1437" s="7" t="str">
        <f>HYPERLINK("https://twitter.com/sleepers_0","@sleepers_0")</f>
        <v>@sleepers_0</v>
      </c>
      <c r="C1437" s="8" t="s">
        <v>5728</v>
      </c>
      <c r="D1437" s="9" t="s">
        <v>5729</v>
      </c>
      <c r="E1437" s="10" t="str">
        <f>HYPERLINK("https://twitter.com/sleepers_0/status/1070376328069898241","1070376328069898241")</f>
        <v>1070376328069898241</v>
      </c>
      <c r="F1437" s="13" t="s">
        <v>5732</v>
      </c>
      <c r="G1437" s="11"/>
      <c r="H1437" s="11"/>
      <c r="I1437" s="14">
        <v>0</v>
      </c>
      <c r="J1437" s="14">
        <v>0</v>
      </c>
      <c r="K1437" s="15" t="str">
        <f t="shared" si="292"/>
        <v>Twitter for Android</v>
      </c>
      <c r="L1437" s="14">
        <v>545</v>
      </c>
      <c r="M1437" s="14">
        <v>541</v>
      </c>
      <c r="N1437" s="14">
        <v>5</v>
      </c>
      <c r="O1437" s="16"/>
      <c r="P1437" s="6">
        <v>41826.580416666664</v>
      </c>
      <c r="Q1437" s="11"/>
      <c r="R1437" s="18"/>
      <c r="S1437" s="11"/>
      <c r="T1437" s="11"/>
      <c r="U1437" s="10" t="str">
        <f>HYPERLINK("https://pbs.twimg.com/profile_images/562000920494739457/t_VeZJTN.jpeg","View")</f>
        <v>View</v>
      </c>
    </row>
    <row r="1438" spans="1:21" ht="20.399999999999999">
      <c r="A1438" s="6">
        <v>43439.788506944446</v>
      </c>
      <c r="B1438" s="7" t="str">
        <f>HYPERLINK("https://twitter.com/Belda1954","@Belda1954")</f>
        <v>@Belda1954</v>
      </c>
      <c r="C1438" s="8" t="s">
        <v>5493</v>
      </c>
      <c r="D1438" s="9" t="s">
        <v>4065</v>
      </c>
      <c r="E1438" s="10" t="str">
        <f>HYPERLINK("https://twitter.com/Belda1954/status/1070376116622426113","1070376116622426113")</f>
        <v>1070376116622426113</v>
      </c>
      <c r="F1438" s="13" t="s">
        <v>3869</v>
      </c>
      <c r="G1438" s="11"/>
      <c r="H1438" s="11"/>
      <c r="I1438" s="14">
        <v>0</v>
      </c>
      <c r="J1438" s="14">
        <v>0</v>
      </c>
      <c r="K1438" s="15" t="str">
        <f>HYPERLINK("http://twitter.com","Twitter Web Client")</f>
        <v>Twitter Web Client</v>
      </c>
      <c r="L1438" s="14">
        <v>340</v>
      </c>
      <c r="M1438" s="14">
        <v>1035</v>
      </c>
      <c r="N1438" s="14">
        <v>7</v>
      </c>
      <c r="O1438" s="16"/>
      <c r="P1438" s="6">
        <v>40445.780740740738</v>
      </c>
      <c r="Q1438" s="12" t="s">
        <v>137</v>
      </c>
      <c r="R1438" s="17" t="s">
        <v>5495</v>
      </c>
      <c r="S1438" s="11"/>
      <c r="T1438" s="11"/>
      <c r="U1438" s="10" t="str">
        <f>HYPERLINK("https://pbs.twimg.com/profile_images/760042410126737408/0vT_CbAN.jpg","View")</f>
        <v>View</v>
      </c>
    </row>
    <row r="1439" spans="1:21" ht="40.799999999999997">
      <c r="A1439" s="6">
        <v>43439.787569444445</v>
      </c>
      <c r="B1439" s="7" t="str">
        <f>HYPERLINK("https://twitter.com/elnacionalcat_e","@elnacionalcat_e")</f>
        <v>@elnacionalcat_e</v>
      </c>
      <c r="C1439" s="8" t="s">
        <v>4541</v>
      </c>
      <c r="D1439" s="9" t="s">
        <v>5735</v>
      </c>
      <c r="E1439" s="10" t="str">
        <f>HYPERLINK("https://twitter.com/elnacionalcat_e/status/1070375775998746624","1070375775998746624")</f>
        <v>1070375775998746624</v>
      </c>
      <c r="F1439" s="13" t="s">
        <v>5736</v>
      </c>
      <c r="G1439" s="13" t="s">
        <v>5737</v>
      </c>
      <c r="H1439" s="11"/>
      <c r="I1439" s="14">
        <v>2</v>
      </c>
      <c r="J1439" s="14">
        <v>1</v>
      </c>
      <c r="K1439" s="15" t="str">
        <f>HYPERLINK("https://about.twitter.com/products/tweetdeck","TweetDeck")</f>
        <v>TweetDeck</v>
      </c>
      <c r="L1439" s="14">
        <v>5553</v>
      </c>
      <c r="M1439" s="14">
        <v>355</v>
      </c>
      <c r="N1439" s="14">
        <v>169</v>
      </c>
      <c r="O1439" s="16"/>
      <c r="P1439" s="6">
        <v>42247.840567129635</v>
      </c>
      <c r="Q1439" s="12" t="s">
        <v>3665</v>
      </c>
      <c r="R1439" s="17" t="s">
        <v>4545</v>
      </c>
      <c r="S1439" s="13" t="s">
        <v>4546</v>
      </c>
      <c r="T1439" s="11"/>
      <c r="U1439" s="10" t="str">
        <f>HYPERLINK("https://pbs.twimg.com/profile_images/646298514385960960/VEutSP7L.png","View")</f>
        <v>View</v>
      </c>
    </row>
    <row r="1440" spans="1:21" ht="30.6">
      <c r="A1440" s="6">
        <v>43439.784351851849</v>
      </c>
      <c r="B1440" s="7" t="str">
        <f>HYPERLINK("https://twitter.com/extradepperoni","@extradepperoni")</f>
        <v>@extradepperoni</v>
      </c>
      <c r="C1440" s="8" t="s">
        <v>4829</v>
      </c>
      <c r="D1440" s="9" t="s">
        <v>4830</v>
      </c>
      <c r="E1440" s="10" t="str">
        <f>HYPERLINK("https://twitter.com/extradepperoni/status/1070374609227313152","1070374609227313152")</f>
        <v>1070374609227313152</v>
      </c>
      <c r="F1440" s="11"/>
      <c r="G1440" s="11"/>
      <c r="H1440" s="11"/>
      <c r="I1440" s="14">
        <v>1</v>
      </c>
      <c r="J1440" s="14">
        <v>2</v>
      </c>
      <c r="K1440" s="15" t="str">
        <f>HYPERLINK("http://twitter.com","Twitter Web Client")</f>
        <v>Twitter Web Client</v>
      </c>
      <c r="L1440" s="14">
        <v>12</v>
      </c>
      <c r="M1440" s="14">
        <v>127</v>
      </c>
      <c r="N1440" s="14">
        <v>0</v>
      </c>
      <c r="O1440" s="16"/>
      <c r="P1440" s="6">
        <v>43436.985879629632</v>
      </c>
      <c r="Q1440" s="12" t="s">
        <v>1803</v>
      </c>
      <c r="R1440" s="17" t="s">
        <v>4831</v>
      </c>
      <c r="S1440" s="11"/>
      <c r="T1440" s="11"/>
      <c r="U1440" s="10" t="str">
        <f>HYPERLINK("https://pbs.twimg.com/profile_images/1069372042900881408/q3gWnaRA.jpg","View")</f>
        <v>View</v>
      </c>
    </row>
    <row r="1441" spans="1:21" ht="51">
      <c r="A1441" s="6">
        <v>43439.783182870371</v>
      </c>
      <c r="B1441" s="7" t="str">
        <f>HYPERLINK("https://twitter.com/torrevej","@torrevej")</f>
        <v>@torrevej</v>
      </c>
      <c r="C1441" s="8" t="s">
        <v>4834</v>
      </c>
      <c r="D1441" s="9" t="s">
        <v>4835</v>
      </c>
      <c r="E1441" s="10" t="str">
        <f>HYPERLINK("https://twitter.com/torrevej/status/1070374187078950918","1070374187078950918")</f>
        <v>1070374187078950918</v>
      </c>
      <c r="F1441" s="11"/>
      <c r="G1441" s="11"/>
      <c r="H1441" s="11"/>
      <c r="I1441" s="14">
        <v>3</v>
      </c>
      <c r="J1441" s="14">
        <v>6</v>
      </c>
      <c r="K1441" s="15" t="str">
        <f>HYPERLINK("http://twitter.com/download/iphone","Twitter for iPhone")</f>
        <v>Twitter for iPhone</v>
      </c>
      <c r="L1441" s="14">
        <v>1089</v>
      </c>
      <c r="M1441" s="14">
        <v>1283</v>
      </c>
      <c r="N1441" s="14">
        <v>29</v>
      </c>
      <c r="O1441" s="16"/>
      <c r="P1441" s="6">
        <v>39760.412893518514</v>
      </c>
      <c r="Q1441" s="11"/>
      <c r="R1441" s="17" t="s">
        <v>4839</v>
      </c>
      <c r="S1441" s="11"/>
      <c r="T1441" s="11"/>
      <c r="U1441" s="10" t="str">
        <f>HYPERLINK("https://pbs.twimg.com/profile_images/748164789206147074/_bKCbBgK.jpg","View")</f>
        <v>View</v>
      </c>
    </row>
    <row r="1442" spans="1:21" ht="122.4">
      <c r="A1442" s="6">
        <v>43439.781319444446</v>
      </c>
      <c r="B1442" s="7" t="str">
        <f>HYPERLINK("https://twitter.com/UriCAT84","@UriCAT84")</f>
        <v>@UriCAT84</v>
      </c>
      <c r="C1442" s="8" t="s">
        <v>81</v>
      </c>
      <c r="D1442" s="9" t="s">
        <v>4843</v>
      </c>
      <c r="E1442" s="10" t="str">
        <f>HYPERLINK("https://twitter.com/UriCAT84/status/1070373510709694466","1070373510709694466")</f>
        <v>1070373510709694466</v>
      </c>
      <c r="F1442" s="13" t="s">
        <v>4844</v>
      </c>
      <c r="G1442" s="13" t="s">
        <v>4845</v>
      </c>
      <c r="H1442" s="11"/>
      <c r="I1442" s="14">
        <v>0</v>
      </c>
      <c r="J1442" s="14">
        <v>0</v>
      </c>
      <c r="K1442" s="15" t="str">
        <f>HYPERLINK("http://twitter.com/download/android","Twitter for Android")</f>
        <v>Twitter for Android</v>
      </c>
      <c r="L1442" s="14">
        <v>1229</v>
      </c>
      <c r="M1442" s="14">
        <v>2065</v>
      </c>
      <c r="N1442" s="14">
        <v>0</v>
      </c>
      <c r="O1442" s="16"/>
      <c r="P1442" s="6">
        <v>40701.65960648148</v>
      </c>
      <c r="Q1442" s="11"/>
      <c r="R1442" s="18"/>
      <c r="S1442" s="11"/>
      <c r="T1442" s="11"/>
      <c r="U1442" s="10" t="str">
        <f>HYPERLINK("https://pbs.twimg.com/profile_images/915586738516561920/C960_H5-.jpg","View")</f>
        <v>View</v>
      </c>
    </row>
    <row r="1443" spans="1:21" ht="20.399999999999999">
      <c r="A1443" s="6">
        <v>43439.780995370369</v>
      </c>
      <c r="B1443" s="7" t="str">
        <f>HYPERLINK("https://twitter.com/XoseLieiro","@XoseLieiro")</f>
        <v>@XoseLieiro</v>
      </c>
      <c r="C1443" s="8" t="s">
        <v>5746</v>
      </c>
      <c r="D1443" s="9" t="s">
        <v>4065</v>
      </c>
      <c r="E1443" s="10" t="str">
        <f>HYPERLINK("https://twitter.com/XoseLieiro/status/1070373396029018112","1070373396029018112")</f>
        <v>1070373396029018112</v>
      </c>
      <c r="F1443" s="13" t="s">
        <v>3869</v>
      </c>
      <c r="G1443" s="11"/>
      <c r="H1443" s="11"/>
      <c r="I1443" s="14">
        <v>0</v>
      </c>
      <c r="J1443" s="14">
        <v>0</v>
      </c>
      <c r="K1443" s="15" t="str">
        <f>HYPERLINK("http://twitter.com","Twitter Web Client")</f>
        <v>Twitter Web Client</v>
      </c>
      <c r="L1443" s="14">
        <v>147</v>
      </c>
      <c r="M1443" s="14">
        <v>129</v>
      </c>
      <c r="N1443" s="14">
        <v>19</v>
      </c>
      <c r="O1443" s="16"/>
      <c r="P1443" s="6">
        <v>40671.897164351853</v>
      </c>
      <c r="Q1443" s="12" t="s">
        <v>5750</v>
      </c>
      <c r="R1443" s="18"/>
      <c r="S1443" s="13" t="s">
        <v>5751</v>
      </c>
      <c r="T1443" s="11"/>
      <c r="U1443" s="10" t="str">
        <f>HYPERLINK("https://pbs.twimg.com/profile_images/431343830655193089/ui9kxaC5.jpeg","View")</f>
        <v>View</v>
      </c>
    </row>
    <row r="1444" spans="1:21" ht="40.799999999999997">
      <c r="A1444" s="6">
        <v>43439.780810185184</v>
      </c>
      <c r="B1444" s="7" t="str">
        <f>HYPERLINK("https://twitter.com/worldofabsurds","@worldofabsurds")</f>
        <v>@worldofabsurds</v>
      </c>
      <c r="C1444" s="8" t="s">
        <v>4847</v>
      </c>
      <c r="D1444" s="9" t="s">
        <v>4848</v>
      </c>
      <c r="E1444" s="10" t="str">
        <f>HYPERLINK("https://twitter.com/worldofabsurds/status/1070373326223302656","1070373326223302656")</f>
        <v>1070373326223302656</v>
      </c>
      <c r="F1444" s="13" t="s">
        <v>4849</v>
      </c>
      <c r="G1444" s="11"/>
      <c r="H1444" s="11"/>
      <c r="I1444" s="14">
        <v>0</v>
      </c>
      <c r="J1444" s="14">
        <v>0</v>
      </c>
      <c r="K1444" s="15" t="str">
        <f>HYPERLINK("http://twitter.com/download/android","Twitter for Android")</f>
        <v>Twitter for Android</v>
      </c>
      <c r="L1444" s="14">
        <v>60</v>
      </c>
      <c r="M1444" s="14">
        <v>175</v>
      </c>
      <c r="N1444" s="14">
        <v>0</v>
      </c>
      <c r="O1444" s="16"/>
      <c r="P1444" s="6">
        <v>42930.995196759264</v>
      </c>
      <c r="Q1444" s="11"/>
      <c r="R1444" s="17" t="s">
        <v>4850</v>
      </c>
      <c r="S1444" s="11"/>
      <c r="T1444" s="11"/>
      <c r="U1444" s="10" t="str">
        <f>HYPERLINK("https://pbs.twimg.com/profile_images/994659982305124354/2nOOM9Un.jpg","View")</f>
        <v>View</v>
      </c>
    </row>
    <row r="1445" spans="1:21" ht="30.6">
      <c r="A1445" s="6">
        <v>43439.780497685184</v>
      </c>
      <c r="B1445" s="7" t="str">
        <f>HYPERLINK("https://twitter.com/DidacXavier","@DidacXavier")</f>
        <v>@DidacXavier</v>
      </c>
      <c r="C1445" s="8" t="s">
        <v>1606</v>
      </c>
      <c r="D1445" s="9" t="s">
        <v>4851</v>
      </c>
      <c r="E1445" s="10" t="str">
        <f>HYPERLINK("https://twitter.com/DidacXavier/status/1070373213836853248","1070373213836853248")</f>
        <v>1070373213836853248</v>
      </c>
      <c r="F1445" s="11"/>
      <c r="G1445" s="11"/>
      <c r="H1445" s="11"/>
      <c r="I1445" s="14">
        <v>39</v>
      </c>
      <c r="J1445" s="14">
        <v>34</v>
      </c>
      <c r="K1445" s="15" t="str">
        <f>HYPERLINK("http://twitter.com","Twitter Web Client")</f>
        <v>Twitter Web Client</v>
      </c>
      <c r="L1445" s="14">
        <v>295</v>
      </c>
      <c r="M1445" s="14">
        <v>336</v>
      </c>
      <c r="N1445" s="14">
        <v>4</v>
      </c>
      <c r="O1445" s="16"/>
      <c r="P1445" s="6">
        <v>40840.563078703708</v>
      </c>
      <c r="Q1445" s="11"/>
      <c r="R1445" s="17" t="s">
        <v>1610</v>
      </c>
      <c r="S1445" s="11"/>
      <c r="T1445" s="11"/>
      <c r="U1445" s="10" t="str">
        <f>HYPERLINK("https://pbs.twimg.com/profile_images/508562556563116032/Ab-37kIE.jpeg","View")</f>
        <v>View</v>
      </c>
    </row>
    <row r="1446" spans="1:21" ht="71.400000000000006">
      <c r="A1446" s="6">
        <v>43439.779328703706</v>
      </c>
      <c r="B1446" s="7" t="str">
        <f>HYPERLINK("https://twitter.com/doguionrego","@doguionrego")</f>
        <v>@doguionrego</v>
      </c>
      <c r="C1446" s="8" t="s">
        <v>756</v>
      </c>
      <c r="D1446" s="9" t="s">
        <v>4855</v>
      </c>
      <c r="E1446" s="10" t="str">
        <f>HYPERLINK("https://twitter.com/doguionrego/status/1070372791751503872","1070372791751503872")</f>
        <v>1070372791751503872</v>
      </c>
      <c r="F1446" s="12" t="s">
        <v>4857</v>
      </c>
      <c r="G1446" s="11"/>
      <c r="H1446" s="11"/>
      <c r="I1446" s="14">
        <v>0</v>
      </c>
      <c r="J1446" s="14">
        <v>0</v>
      </c>
      <c r="K1446" s="15" t="str">
        <f>HYPERLINK("http://twitter.com/download/android","Twitter for Android")</f>
        <v>Twitter for Android</v>
      </c>
      <c r="L1446" s="14">
        <v>4649</v>
      </c>
      <c r="M1446" s="14">
        <v>4774</v>
      </c>
      <c r="N1446" s="14">
        <v>9</v>
      </c>
      <c r="O1446" s="16"/>
      <c r="P1446" s="6">
        <v>42818.633599537032</v>
      </c>
      <c r="Q1446" s="12" t="s">
        <v>137</v>
      </c>
      <c r="R1446" s="17" t="s">
        <v>761</v>
      </c>
      <c r="S1446" s="11"/>
      <c r="T1446" s="11"/>
      <c r="U1446" s="10" t="str">
        <f>HYPERLINK("https://pbs.twimg.com/profile_images/937615481602789376/OBa7YPsM.jpg","View")</f>
        <v>View</v>
      </c>
    </row>
    <row r="1447" spans="1:21" ht="30.6">
      <c r="A1447" s="6">
        <v>43439.77847222222</v>
      </c>
      <c r="B1447" s="7" t="str">
        <f>HYPERLINK("https://twitter.com/AlDiaTRECE","@AlDiaTRECE")</f>
        <v>@AlDiaTRECE</v>
      </c>
      <c r="C1447" s="8" t="s">
        <v>4859</v>
      </c>
      <c r="D1447" s="9" t="s">
        <v>4860</v>
      </c>
      <c r="E1447" s="10" t="str">
        <f>HYPERLINK("https://twitter.com/AlDiaTRECE/status/1070372479514890241","1070372479514890241")</f>
        <v>1070372479514890241</v>
      </c>
      <c r="F1447" s="13" t="s">
        <v>4861</v>
      </c>
      <c r="G1447" s="11"/>
      <c r="H1447" s="11"/>
      <c r="I1447" s="14">
        <v>0</v>
      </c>
      <c r="J1447" s="14">
        <v>0</v>
      </c>
      <c r="K1447" s="15" t="str">
        <f>HYPERLINK("http://dogtrack.es","DogTrack_Oficial")</f>
        <v>DogTrack_Oficial</v>
      </c>
      <c r="L1447" s="14">
        <v>36635</v>
      </c>
      <c r="M1447" s="14">
        <v>188</v>
      </c>
      <c r="N1447" s="14">
        <v>256</v>
      </c>
      <c r="O1447" s="19" t="s">
        <v>42</v>
      </c>
      <c r="P1447" s="6">
        <v>40801.803842592592</v>
      </c>
      <c r="Q1447" s="11"/>
      <c r="R1447" s="17" t="s">
        <v>4862</v>
      </c>
      <c r="S1447" s="13" t="s">
        <v>4863</v>
      </c>
      <c r="T1447" s="11"/>
      <c r="U1447" s="10" t="str">
        <f>HYPERLINK("https://pbs.twimg.com/profile_images/1039085293620617216/wJ0qsoL7.jpg","View")</f>
        <v>View</v>
      </c>
    </row>
    <row r="1448" spans="1:21" ht="51">
      <c r="A1448" s="6">
        <v>43439.777766203704</v>
      </c>
      <c r="B1448" s="7" t="str">
        <f>HYPERLINK("https://twitter.com/DidacXavier","@DidacXavier")</f>
        <v>@DidacXavier</v>
      </c>
      <c r="C1448" s="8" t="s">
        <v>1606</v>
      </c>
      <c r="D1448" s="9" t="s">
        <v>4864</v>
      </c>
      <c r="E1448" s="10" t="str">
        <f>HYPERLINK("https://twitter.com/DidacXavier/status/1070372223129665538","1070372223129665538")</f>
        <v>1070372223129665538</v>
      </c>
      <c r="F1448" s="11"/>
      <c r="G1448" s="11"/>
      <c r="H1448" s="11"/>
      <c r="I1448" s="14">
        <v>270</v>
      </c>
      <c r="J1448" s="14">
        <v>280</v>
      </c>
      <c r="K1448" s="15" t="str">
        <f>HYPERLINK("http://twitter.com","Twitter Web Client")</f>
        <v>Twitter Web Client</v>
      </c>
      <c r="L1448" s="14">
        <v>295</v>
      </c>
      <c r="M1448" s="14">
        <v>336</v>
      </c>
      <c r="N1448" s="14">
        <v>4</v>
      </c>
      <c r="O1448" s="16"/>
      <c r="P1448" s="6">
        <v>40840.563078703708</v>
      </c>
      <c r="Q1448" s="11"/>
      <c r="R1448" s="17" t="s">
        <v>1610</v>
      </c>
      <c r="S1448" s="11"/>
      <c r="T1448" s="11"/>
      <c r="U1448" s="10" t="str">
        <f>HYPERLINK("https://pbs.twimg.com/profile_images/508562556563116032/Ab-37kIE.jpeg","View")</f>
        <v>View</v>
      </c>
    </row>
    <row r="1449" spans="1:21" ht="40.799999999999997">
      <c r="A1449" s="6">
        <v>43439.77643518518</v>
      </c>
      <c r="B1449" s="7" t="str">
        <f>HYPERLINK("https://twitter.com/ibanez023","@ibanez023")</f>
        <v>@ibanez023</v>
      </c>
      <c r="C1449" s="8" t="s">
        <v>2605</v>
      </c>
      <c r="D1449" s="9" t="s">
        <v>5763</v>
      </c>
      <c r="E1449" s="10" t="str">
        <f>HYPERLINK("https://twitter.com/ibanez023/status/1070371740809871360","1070371740809871360")</f>
        <v>1070371740809871360</v>
      </c>
      <c r="F1449" s="12" t="s">
        <v>5764</v>
      </c>
      <c r="G1449" s="13" t="s">
        <v>5765</v>
      </c>
      <c r="H1449" s="11"/>
      <c r="I1449" s="14">
        <v>0</v>
      </c>
      <c r="J1449" s="14">
        <v>1</v>
      </c>
      <c r="K1449" s="15" t="str">
        <f>HYPERLINK("https://mobile.twitter.com","Twitter Lite")</f>
        <v>Twitter Lite</v>
      </c>
      <c r="L1449" s="14">
        <v>529</v>
      </c>
      <c r="M1449" s="14">
        <v>309</v>
      </c>
      <c r="N1449" s="14">
        <v>4</v>
      </c>
      <c r="O1449" s="16"/>
      <c r="P1449" s="6">
        <v>40764.580312500002</v>
      </c>
      <c r="Q1449" s="11"/>
      <c r="R1449" s="18"/>
      <c r="S1449" s="11"/>
      <c r="T1449" s="11"/>
      <c r="U1449" s="10" t="str">
        <f>HYPERLINK("https://pbs.twimg.com/profile_images/980482862255362048/t1zd7mjm.jpg","View")</f>
        <v>View</v>
      </c>
    </row>
    <row r="1450" spans="1:21" ht="51">
      <c r="A1450" s="6">
        <v>43439.776365740741</v>
      </c>
      <c r="B1450" s="7" t="str">
        <f>HYPERLINK("https://twitter.com/culebra1978","@culebra1978")</f>
        <v>@culebra1978</v>
      </c>
      <c r="C1450" s="8" t="s">
        <v>4869</v>
      </c>
      <c r="D1450" s="9" t="s">
        <v>4870</v>
      </c>
      <c r="E1450" s="10" t="str">
        <f>HYPERLINK("https://twitter.com/culebra1978/status/1070371717166624768","1070371717166624768")</f>
        <v>1070371717166624768</v>
      </c>
      <c r="F1450" s="11"/>
      <c r="G1450" s="11"/>
      <c r="H1450" s="11"/>
      <c r="I1450" s="14">
        <v>23</v>
      </c>
      <c r="J1450" s="14">
        <v>39</v>
      </c>
      <c r="K1450" s="15" t="str">
        <f t="shared" ref="K1450:K1451" si="293">HYPERLINK("http://twitter.com/download/android","Twitter for Android")</f>
        <v>Twitter for Android</v>
      </c>
      <c r="L1450" s="14">
        <v>7211</v>
      </c>
      <c r="M1450" s="14">
        <v>5764</v>
      </c>
      <c r="N1450" s="14">
        <v>11</v>
      </c>
      <c r="O1450" s="16"/>
      <c r="P1450" s="6">
        <v>41008.866574074076</v>
      </c>
      <c r="Q1450" s="12" t="s">
        <v>4871</v>
      </c>
      <c r="R1450" s="17" t="s">
        <v>4872</v>
      </c>
      <c r="S1450" s="11"/>
      <c r="T1450" s="11"/>
      <c r="U1450" s="10" t="str">
        <f>HYPERLINK("https://pbs.twimg.com/profile_images/1042005741668900866/Z6LFT-O8.jpg","View")</f>
        <v>View</v>
      </c>
    </row>
    <row r="1451" spans="1:21" ht="40.799999999999997">
      <c r="A1451" s="6">
        <v>43439.776331018518</v>
      </c>
      <c r="B1451" s="7" t="str">
        <f>HYPERLINK("https://twitter.com/CsHortaGuinardo","@CsHortaGuinardo")</f>
        <v>@CsHortaGuinardo</v>
      </c>
      <c r="C1451" s="8" t="s">
        <v>3983</v>
      </c>
      <c r="D1451" s="9" t="s">
        <v>4807</v>
      </c>
      <c r="E1451" s="10" t="str">
        <f>HYPERLINK("https://twitter.com/CsHortaGuinardo/status/1070371702960545792","1070371702960545792")</f>
        <v>1070371702960545792</v>
      </c>
      <c r="F1451" s="11"/>
      <c r="G1451" s="13" t="s">
        <v>4873</v>
      </c>
      <c r="H1451" s="11"/>
      <c r="I1451" s="14">
        <v>16</v>
      </c>
      <c r="J1451" s="14">
        <v>18</v>
      </c>
      <c r="K1451" s="15" t="str">
        <f t="shared" si="293"/>
        <v>Twitter for Android</v>
      </c>
      <c r="L1451" s="14">
        <v>2357</v>
      </c>
      <c r="M1451" s="14">
        <v>1279</v>
      </c>
      <c r="N1451" s="14">
        <v>56</v>
      </c>
      <c r="O1451" s="16"/>
      <c r="P1451" s="6">
        <v>41047.766273148147</v>
      </c>
      <c r="Q1451" s="12" t="s">
        <v>2228</v>
      </c>
      <c r="R1451" s="17" t="s">
        <v>3986</v>
      </c>
      <c r="S1451" s="13" t="s">
        <v>452</v>
      </c>
      <c r="T1451" s="11"/>
      <c r="U1451" s="10" t="str">
        <f>HYPERLINK("https://pbs.twimg.com/profile_images/906263821634985985/BzE7Blkp.png","View")</f>
        <v>View</v>
      </c>
    </row>
    <row r="1452" spans="1:21" ht="40.799999999999997">
      <c r="A1452" s="6">
        <v>43439.775972222225</v>
      </c>
      <c r="B1452" s="7" t="str">
        <f>HYPERLINK("https://twitter.com/CsCordoba_Prov","@CsCordoba_Prov")</f>
        <v>@CsCordoba_Prov</v>
      </c>
      <c r="C1452" s="8" t="s">
        <v>4874</v>
      </c>
      <c r="D1452" s="9" t="s">
        <v>4875</v>
      </c>
      <c r="E1452" s="10" t="str">
        <f>HYPERLINK("https://twitter.com/CsCordoba_Prov/status/1070371573801074688","1070371573801074688")</f>
        <v>1070371573801074688</v>
      </c>
      <c r="F1452" s="11"/>
      <c r="G1452" s="13" t="s">
        <v>4876</v>
      </c>
      <c r="H1452" s="11"/>
      <c r="I1452" s="14">
        <v>13</v>
      </c>
      <c r="J1452" s="14">
        <v>15</v>
      </c>
      <c r="K1452" s="15" t="str">
        <f>HYPERLINK("http://twitter.com/download/iphone","Twitter for iPhone")</f>
        <v>Twitter for iPhone</v>
      </c>
      <c r="L1452" s="14">
        <v>655</v>
      </c>
      <c r="M1452" s="14">
        <v>539</v>
      </c>
      <c r="N1452" s="14">
        <v>3</v>
      </c>
      <c r="O1452" s="16"/>
      <c r="P1452" s="6">
        <v>43200.79487268519</v>
      </c>
      <c r="Q1452" s="11"/>
      <c r="R1452" s="17" t="s">
        <v>4878</v>
      </c>
      <c r="S1452" s="11"/>
      <c r="T1452" s="11"/>
      <c r="U1452" s="10" t="str">
        <f>HYPERLINK("https://pbs.twimg.com/profile_images/1058680770993233921/zdhPAemA.jpg","View")</f>
        <v>View</v>
      </c>
    </row>
    <row r="1453" spans="1:21" ht="20.399999999999999">
      <c r="A1453" s="6">
        <v>43439.773333333331</v>
      </c>
      <c r="B1453" s="7" t="str">
        <f>HYPERLINK("https://twitter.com/XoseLieiro","@XoseLieiro")</f>
        <v>@XoseLieiro</v>
      </c>
      <c r="C1453" s="8" t="s">
        <v>5746</v>
      </c>
      <c r="D1453" s="9" t="s">
        <v>5776</v>
      </c>
      <c r="E1453" s="10" t="str">
        <f>HYPERLINK("https://twitter.com/XoseLieiro/status/1070370619479470081","1070370619479470081")</f>
        <v>1070370619479470081</v>
      </c>
      <c r="F1453" s="13" t="s">
        <v>4926</v>
      </c>
      <c r="G1453" s="11"/>
      <c r="H1453" s="11"/>
      <c r="I1453" s="14">
        <v>0</v>
      </c>
      <c r="J1453" s="14">
        <v>0</v>
      </c>
      <c r="K1453" s="15" t="str">
        <f>HYPERLINK("http://twitter.com","Twitter Web Client")</f>
        <v>Twitter Web Client</v>
      </c>
      <c r="L1453" s="14">
        <v>147</v>
      </c>
      <c r="M1453" s="14">
        <v>129</v>
      </c>
      <c r="N1453" s="14">
        <v>19</v>
      </c>
      <c r="O1453" s="16"/>
      <c r="P1453" s="6">
        <v>40671.897164351853</v>
      </c>
      <c r="Q1453" s="12" t="s">
        <v>5750</v>
      </c>
      <c r="R1453" s="18"/>
      <c r="S1453" s="13" t="s">
        <v>5751</v>
      </c>
      <c r="T1453" s="11"/>
      <c r="U1453" s="10" t="str">
        <f>HYPERLINK("https://pbs.twimg.com/profile_images/431343830655193089/ui9kxaC5.jpeg","View")</f>
        <v>View</v>
      </c>
    </row>
    <row r="1454" spans="1:21" ht="61.2">
      <c r="A1454" s="6">
        <v>43439.772731481484</v>
      </c>
      <c r="B1454" s="7" t="str">
        <f>HYPERLINK("https://twitter.com/macrom80103027","@macrom80103027")</f>
        <v>@macrom80103027</v>
      </c>
      <c r="C1454" s="8" t="s">
        <v>4879</v>
      </c>
      <c r="D1454" s="9" t="s">
        <v>4880</v>
      </c>
      <c r="E1454" s="10" t="str">
        <f>HYPERLINK("https://twitter.com/macrom80103027/status/1070370400956243968","1070370400956243968")</f>
        <v>1070370400956243968</v>
      </c>
      <c r="F1454" s="11"/>
      <c r="G1454" s="11"/>
      <c r="H1454" s="11"/>
      <c r="I1454" s="14">
        <v>0</v>
      </c>
      <c r="J1454" s="14">
        <v>0</v>
      </c>
      <c r="K1454" s="15" t="str">
        <f>HYPERLINK("http://twitter.com/download/iphone","Twitter for iPhone")</f>
        <v>Twitter for iPhone</v>
      </c>
      <c r="L1454" s="14">
        <v>9</v>
      </c>
      <c r="M1454" s="14">
        <v>74</v>
      </c>
      <c r="N1454" s="14">
        <v>0</v>
      </c>
      <c r="O1454" s="16"/>
      <c r="P1454" s="6">
        <v>43259.747662037036</v>
      </c>
      <c r="Q1454" s="11"/>
      <c r="R1454" s="18"/>
      <c r="S1454" s="11"/>
      <c r="T1454" s="11"/>
      <c r="U1454" s="10" t="str">
        <f>HYPERLINK("https://pbs.twimg.com/profile_images/1043574375990153220/YYcInmvq.jpg","View")</f>
        <v>View</v>
      </c>
    </row>
    <row r="1455" spans="1:21" ht="91.8">
      <c r="A1455" s="6">
        <v>43439.772731481484</v>
      </c>
      <c r="B1455" s="7" t="str">
        <f>HYPERLINK("https://twitter.com/doguionrego","@doguionrego")</f>
        <v>@doguionrego</v>
      </c>
      <c r="C1455" s="8" t="s">
        <v>756</v>
      </c>
      <c r="D1455" s="9" t="s">
        <v>4881</v>
      </c>
      <c r="E1455" s="10" t="str">
        <f>HYPERLINK("https://twitter.com/doguionrego/status/1070370399521771520","1070370399521771520")</f>
        <v>1070370399521771520</v>
      </c>
      <c r="F1455" s="13" t="s">
        <v>4884</v>
      </c>
      <c r="G1455" s="11"/>
      <c r="H1455" s="11"/>
      <c r="I1455" s="14">
        <v>0</v>
      </c>
      <c r="J1455" s="14">
        <v>0</v>
      </c>
      <c r="K1455" s="15" t="str">
        <f t="shared" ref="K1455:K1457" si="294">HYPERLINK("http://twitter.com/download/android","Twitter for Android")</f>
        <v>Twitter for Android</v>
      </c>
      <c r="L1455" s="14">
        <v>4649</v>
      </c>
      <c r="M1455" s="14">
        <v>4774</v>
      </c>
      <c r="N1455" s="14">
        <v>9</v>
      </c>
      <c r="O1455" s="16"/>
      <c r="P1455" s="6">
        <v>42818.633599537032</v>
      </c>
      <c r="Q1455" s="12" t="s">
        <v>137</v>
      </c>
      <c r="R1455" s="17" t="s">
        <v>761</v>
      </c>
      <c r="S1455" s="11"/>
      <c r="T1455" s="11"/>
      <c r="U1455" s="10" t="str">
        <f>HYPERLINK("https://pbs.twimg.com/profile_images/937615481602789376/OBa7YPsM.jpg","View")</f>
        <v>View</v>
      </c>
    </row>
    <row r="1456" spans="1:21" ht="40.799999999999997">
      <c r="A1456" s="6">
        <v>43439.77243055556</v>
      </c>
      <c r="B1456" s="7" t="str">
        <f>HYPERLINK("https://twitter.com/XavierErausquin","@XavierErausquin")</f>
        <v>@XavierErausquin</v>
      </c>
      <c r="C1456" s="8" t="s">
        <v>4339</v>
      </c>
      <c r="D1456" s="9" t="s">
        <v>4885</v>
      </c>
      <c r="E1456" s="10" t="str">
        <f>HYPERLINK("https://twitter.com/XavierErausquin/status/1070370291937882112","1070370291937882112")</f>
        <v>1070370291937882112</v>
      </c>
      <c r="F1456" s="11"/>
      <c r="G1456" s="13" t="s">
        <v>4886</v>
      </c>
      <c r="H1456" s="11"/>
      <c r="I1456" s="14">
        <v>4</v>
      </c>
      <c r="J1456" s="14">
        <v>0</v>
      </c>
      <c r="K1456" s="15" t="str">
        <f t="shared" si="294"/>
        <v>Twitter for Android</v>
      </c>
      <c r="L1456" s="14">
        <v>1205</v>
      </c>
      <c r="M1456" s="14">
        <v>985</v>
      </c>
      <c r="N1456" s="14">
        <v>2</v>
      </c>
      <c r="O1456" s="16"/>
      <c r="P1456" s="6">
        <v>43082.773009259261</v>
      </c>
      <c r="Q1456" s="12" t="s">
        <v>1785</v>
      </c>
      <c r="R1456" s="17" t="s">
        <v>4344</v>
      </c>
      <c r="S1456" s="11"/>
      <c r="T1456" s="11"/>
      <c r="U1456" s="10" t="str">
        <f>HYPERLINK("https://pbs.twimg.com/profile_images/1060492263824990208/Jkd3jT_8.jpg","View")</f>
        <v>View</v>
      </c>
    </row>
    <row r="1457" spans="1:21" ht="30.6">
      <c r="A1457" s="6">
        <v>43439.772268518514</v>
      </c>
      <c r="B1457" s="7" t="str">
        <f>HYPERLINK("https://twitter.com/vcliments","@vcliments")</f>
        <v>@vcliments</v>
      </c>
      <c r="C1457" s="8" t="s">
        <v>5787</v>
      </c>
      <c r="D1457" s="9" t="s">
        <v>5788</v>
      </c>
      <c r="E1457" s="10" t="str">
        <f>HYPERLINK("https://twitter.com/vcliments/status/1070370230050963456","1070370230050963456")</f>
        <v>1070370230050963456</v>
      </c>
      <c r="F1457" s="13" t="s">
        <v>4180</v>
      </c>
      <c r="G1457" s="11"/>
      <c r="H1457" s="11"/>
      <c r="I1457" s="14">
        <v>2</v>
      </c>
      <c r="J1457" s="14">
        <v>2</v>
      </c>
      <c r="K1457" s="15" t="str">
        <f t="shared" si="294"/>
        <v>Twitter for Android</v>
      </c>
      <c r="L1457" s="14">
        <v>65</v>
      </c>
      <c r="M1457" s="14">
        <v>146</v>
      </c>
      <c r="N1457" s="14">
        <v>0</v>
      </c>
      <c r="O1457" s="16"/>
      <c r="P1457" s="6">
        <v>43067.525868055556</v>
      </c>
      <c r="Q1457" s="12" t="s">
        <v>83</v>
      </c>
      <c r="R1457" s="17" t="s">
        <v>5793</v>
      </c>
      <c r="S1457" s="11"/>
      <c r="T1457" s="11"/>
      <c r="U1457" s="10" t="str">
        <f>HYPERLINK("https://pbs.twimg.com/profile_images/935492835318607873/kcd4c1j4.jpg","View")</f>
        <v>View</v>
      </c>
    </row>
    <row r="1458" spans="1:21" ht="20.399999999999999">
      <c r="A1458" s="6">
        <v>43439.770613425921</v>
      </c>
      <c r="B1458" s="7" t="str">
        <f>HYPERLINK("https://twitter.com/Isabel78203986","@Isabel78203986")</f>
        <v>@Isabel78203986</v>
      </c>
      <c r="C1458" s="8" t="s">
        <v>5796</v>
      </c>
      <c r="D1458" s="9" t="s">
        <v>5797</v>
      </c>
      <c r="E1458" s="10" t="str">
        <f>HYPERLINK("https://twitter.com/Isabel78203986/status/1070369633876799488","1070369633876799488")</f>
        <v>1070369633876799488</v>
      </c>
      <c r="F1458" s="13" t="s">
        <v>3869</v>
      </c>
      <c r="G1458" s="11"/>
      <c r="H1458" s="11"/>
      <c r="I1458" s="14">
        <v>0</v>
      </c>
      <c r="J1458" s="14">
        <v>0</v>
      </c>
      <c r="K1458" s="15" t="str">
        <f>HYPERLINK("http://twitter.com","Twitter Web Client")</f>
        <v>Twitter Web Client</v>
      </c>
      <c r="L1458" s="14">
        <v>5</v>
      </c>
      <c r="M1458" s="14">
        <v>12</v>
      </c>
      <c r="N1458" s="14">
        <v>0</v>
      </c>
      <c r="O1458" s="16"/>
      <c r="P1458" s="6">
        <v>43423.151863425926</v>
      </c>
      <c r="Q1458" s="12" t="s">
        <v>1544</v>
      </c>
      <c r="R1458" s="17" t="s">
        <v>5799</v>
      </c>
      <c r="S1458" s="11"/>
      <c r="T1458" s="11"/>
      <c r="U1458" s="10" t="str">
        <f>HYPERLINK("https://pbs.twimg.com/profile_images/1064350023960444928/Lu_GLejG.jpg","View")</f>
        <v>View</v>
      </c>
    </row>
    <row r="1459" spans="1:21" ht="13.2">
      <c r="A1459" s="6">
        <v>43439.770162037035</v>
      </c>
      <c r="B1459" s="7" t="str">
        <f>HYPERLINK("https://twitter.com/cmartinez_66","@cmartinez_66")</f>
        <v>@cmartinez_66</v>
      </c>
      <c r="C1459" s="8" t="s">
        <v>5802</v>
      </c>
      <c r="D1459" s="9" t="s">
        <v>2347</v>
      </c>
      <c r="E1459" s="10" t="str">
        <f>HYPERLINK("https://twitter.com/cmartinez_66/status/1070369467694223363","1070369467694223363")</f>
        <v>1070369467694223363</v>
      </c>
      <c r="F1459" s="13" t="s">
        <v>2349</v>
      </c>
      <c r="G1459" s="11"/>
      <c r="H1459" s="11"/>
      <c r="I1459" s="14">
        <v>0</v>
      </c>
      <c r="J1459" s="14">
        <v>0</v>
      </c>
      <c r="K1459" s="15" t="str">
        <f>HYPERLINK("http://twitter.com/download/iphone","Twitter for iPhone")</f>
        <v>Twitter for iPhone</v>
      </c>
      <c r="L1459" s="14">
        <v>369</v>
      </c>
      <c r="M1459" s="14">
        <v>592</v>
      </c>
      <c r="N1459" s="14">
        <v>3</v>
      </c>
      <c r="O1459" s="16"/>
      <c r="P1459" s="6">
        <v>40841.002662037034</v>
      </c>
      <c r="Q1459" s="12" t="s">
        <v>1134</v>
      </c>
      <c r="R1459" s="17" t="s">
        <v>5803</v>
      </c>
      <c r="S1459" s="11"/>
      <c r="T1459" s="11"/>
      <c r="U1459" s="10" t="str">
        <f>HYPERLINK("https://pbs.twimg.com/profile_images/903544815366934528/YiSZIj4R.jpg","View")</f>
        <v>View</v>
      </c>
    </row>
    <row r="1460" spans="1:21" ht="20.399999999999999">
      <c r="A1460" s="6">
        <v>43439.769884259258</v>
      </c>
      <c r="B1460" s="7" t="str">
        <f>HYPERLINK("https://twitter.com/rafaelbalaguer7","@rafaelbalaguer7")</f>
        <v>@rafaelbalaguer7</v>
      </c>
      <c r="C1460" s="8" t="s">
        <v>2665</v>
      </c>
      <c r="D1460" s="9" t="s">
        <v>5806</v>
      </c>
      <c r="E1460" s="10" t="str">
        <f>HYPERLINK("https://twitter.com/rafaelbalaguer7/status/1070369368658325512","1070369368658325512")</f>
        <v>1070369368658325512</v>
      </c>
      <c r="F1460" s="13" t="s">
        <v>5807</v>
      </c>
      <c r="G1460" s="11"/>
      <c r="H1460" s="11"/>
      <c r="I1460" s="14">
        <v>0</v>
      </c>
      <c r="J1460" s="14">
        <v>0</v>
      </c>
      <c r="K1460" s="15" t="str">
        <f>HYPERLINK("http://twitter.com","Twitter Web Client")</f>
        <v>Twitter Web Client</v>
      </c>
      <c r="L1460" s="14">
        <v>2470</v>
      </c>
      <c r="M1460" s="14">
        <v>2571</v>
      </c>
      <c r="N1460" s="14">
        <v>11</v>
      </c>
      <c r="O1460" s="16"/>
      <c r="P1460" s="6">
        <v>42244.710243055553</v>
      </c>
      <c r="Q1460" s="12" t="s">
        <v>2668</v>
      </c>
      <c r="R1460" s="17" t="s">
        <v>2669</v>
      </c>
      <c r="S1460" s="11"/>
      <c r="T1460" s="11"/>
      <c r="U1460" s="10" t="str">
        <f>HYPERLINK("https://pbs.twimg.com/profile_images/988782521973387264/4ki7Vu-I.jpg","View")</f>
        <v>View</v>
      </c>
    </row>
    <row r="1461" spans="1:21" ht="51">
      <c r="A1461" s="6">
        <v>43439.769143518519</v>
      </c>
      <c r="B1461" s="7" t="str">
        <f>HYPERLINK("https://twitter.com/europapress","@europapress")</f>
        <v>@europapress</v>
      </c>
      <c r="C1461" s="8" t="s">
        <v>3135</v>
      </c>
      <c r="D1461" s="9" t="s">
        <v>5811</v>
      </c>
      <c r="E1461" s="10" t="str">
        <f>HYPERLINK("https://twitter.com/europapress/status/1070369099497332736","1070369099497332736")</f>
        <v>1070369099497332736</v>
      </c>
      <c r="F1461" s="13" t="s">
        <v>5813</v>
      </c>
      <c r="G1461" s="13" t="s">
        <v>5814</v>
      </c>
      <c r="H1461" s="11"/>
      <c r="I1461" s="14">
        <v>427</v>
      </c>
      <c r="J1461" s="14">
        <v>664</v>
      </c>
      <c r="K1461" s="15" t="str">
        <f>HYPERLINK("https://studio.twitter.com","Twitter Media Studio")</f>
        <v>Twitter Media Studio</v>
      </c>
      <c r="L1461" s="14">
        <v>1100735</v>
      </c>
      <c r="M1461" s="14">
        <v>1101</v>
      </c>
      <c r="N1461" s="14">
        <v>13750</v>
      </c>
      <c r="O1461" s="19" t="s">
        <v>42</v>
      </c>
      <c r="P1461" s="6">
        <v>40246.461956018517</v>
      </c>
      <c r="Q1461" s="11"/>
      <c r="R1461" s="17" t="s">
        <v>3141</v>
      </c>
      <c r="S1461" s="13" t="s">
        <v>3142</v>
      </c>
      <c r="T1461" s="11"/>
      <c r="U1461" s="10" t="str">
        <f>HYPERLINK("https://pbs.twimg.com/profile_images/876740155473788928/4V7ewUTC.jpg","View")</f>
        <v>View</v>
      </c>
    </row>
    <row r="1462" spans="1:21" ht="51">
      <c r="A1462" s="6">
        <v>43439.767696759256</v>
      </c>
      <c r="B1462" s="7" t="str">
        <f>HYPERLINK("https://twitter.com/risquete","@risquete")</f>
        <v>@risquete</v>
      </c>
      <c r="C1462" s="8" t="s">
        <v>5818</v>
      </c>
      <c r="D1462" s="9" t="s">
        <v>5819</v>
      </c>
      <c r="E1462" s="10" t="str">
        <f>HYPERLINK("https://twitter.com/risquete/status/1070368575486074880","1070368575486074880")</f>
        <v>1070368575486074880</v>
      </c>
      <c r="F1462" s="13" t="s">
        <v>5822</v>
      </c>
      <c r="G1462" s="11"/>
      <c r="H1462" s="11"/>
      <c r="I1462" s="14">
        <v>0</v>
      </c>
      <c r="J1462" s="14">
        <v>0</v>
      </c>
      <c r="K1462" s="15" t="str">
        <f t="shared" ref="K1462:K1463" si="295">HYPERLINK("http://twitter.com","Twitter Web Client")</f>
        <v>Twitter Web Client</v>
      </c>
      <c r="L1462" s="14">
        <v>1379</v>
      </c>
      <c r="M1462" s="14">
        <v>2427</v>
      </c>
      <c r="N1462" s="14">
        <v>55</v>
      </c>
      <c r="O1462" s="16"/>
      <c r="P1462" s="6">
        <v>40494.802199074074</v>
      </c>
      <c r="Q1462" s="12" t="s">
        <v>5823</v>
      </c>
      <c r="R1462" s="17" t="s">
        <v>5824</v>
      </c>
      <c r="S1462" s="13" t="s">
        <v>5825</v>
      </c>
      <c r="T1462" s="11"/>
      <c r="U1462" s="10" t="str">
        <f>HYPERLINK("https://pbs.twimg.com/profile_images/955873635717312515/Kxeq7Gb0.jpg","View")</f>
        <v>View</v>
      </c>
    </row>
    <row r="1463" spans="1:21" ht="30.6">
      <c r="A1463" s="6">
        <v>43439.767592592594</v>
      </c>
      <c r="B1463" s="7" t="str">
        <f>HYPERLINK("https://twitter.com/CsRegionMurcia","@CsRegionMurcia")</f>
        <v>@CsRegionMurcia</v>
      </c>
      <c r="C1463" s="8" t="s">
        <v>817</v>
      </c>
      <c r="D1463" s="9" t="s">
        <v>4889</v>
      </c>
      <c r="E1463" s="10" t="str">
        <f>HYPERLINK("https://twitter.com/CsRegionMurcia/status/1070368535568900097","1070368535568900097")</f>
        <v>1070368535568900097</v>
      </c>
      <c r="F1463" s="13" t="s">
        <v>4890</v>
      </c>
      <c r="G1463" s="13" t="s">
        <v>4891</v>
      </c>
      <c r="H1463" s="11"/>
      <c r="I1463" s="14">
        <v>9</v>
      </c>
      <c r="J1463" s="14">
        <v>7</v>
      </c>
      <c r="K1463" s="15" t="str">
        <f t="shared" si="295"/>
        <v>Twitter Web Client</v>
      </c>
      <c r="L1463" s="14">
        <v>6245</v>
      </c>
      <c r="M1463" s="14">
        <v>1107</v>
      </c>
      <c r="N1463" s="14">
        <v>96</v>
      </c>
      <c r="O1463" s="19" t="s">
        <v>42</v>
      </c>
      <c r="P1463" s="6">
        <v>40745.431666666671</v>
      </c>
      <c r="Q1463" s="12" t="s">
        <v>820</v>
      </c>
      <c r="R1463" s="17" t="s">
        <v>821</v>
      </c>
      <c r="S1463" s="13" t="s">
        <v>822</v>
      </c>
      <c r="T1463" s="11"/>
      <c r="U1463" s="10" t="str">
        <f>HYPERLINK("https://pbs.twimg.com/profile_images/1053559144299614208/SFwaZPxU.jpg","View")</f>
        <v>View</v>
      </c>
    </row>
    <row r="1464" spans="1:21" ht="40.799999999999997">
      <c r="A1464" s="6">
        <v>43439.767465277779</v>
      </c>
      <c r="B1464" s="7" t="str">
        <f>HYPERLINK("https://twitter.com/Cs_Andalucia","@Cs_Andalucia")</f>
        <v>@Cs_Andalucia</v>
      </c>
      <c r="C1464" s="8" t="s">
        <v>3496</v>
      </c>
      <c r="D1464" s="9" t="s">
        <v>4894</v>
      </c>
      <c r="E1464" s="10" t="str">
        <f>HYPERLINK("https://twitter.com/Cs_Andalucia/status/1070368491067359233","1070368491067359233")</f>
        <v>1070368491067359233</v>
      </c>
      <c r="F1464" s="13" t="s">
        <v>3498</v>
      </c>
      <c r="G1464" s="13" t="s">
        <v>4899</v>
      </c>
      <c r="H1464" s="11"/>
      <c r="I1464" s="14">
        <v>8</v>
      </c>
      <c r="J1464" s="14">
        <v>12</v>
      </c>
      <c r="K1464" s="15" t="str">
        <f>HYPERLINK("https://www.hootsuite.com","Hootsuite Inc.")</f>
        <v>Hootsuite Inc.</v>
      </c>
      <c r="L1464" s="14">
        <v>24350</v>
      </c>
      <c r="M1464" s="14">
        <v>1952</v>
      </c>
      <c r="N1464" s="14">
        <v>293</v>
      </c>
      <c r="O1464" s="19" t="s">
        <v>42</v>
      </c>
      <c r="P1464" s="6">
        <v>41486.77375</v>
      </c>
      <c r="Q1464" s="12" t="s">
        <v>231</v>
      </c>
      <c r="R1464" s="17" t="s">
        <v>3500</v>
      </c>
      <c r="S1464" s="13" t="s">
        <v>3501</v>
      </c>
      <c r="T1464" s="11"/>
      <c r="U1464" s="10" t="str">
        <f>HYPERLINK("https://pbs.twimg.com/profile_images/1058695543705231360/iGNXhBmQ.jpg","View")</f>
        <v>View</v>
      </c>
    </row>
    <row r="1465" spans="1:21" ht="30.6">
      <c r="A1465" s="6">
        <v>43439.767465277779</v>
      </c>
      <c r="B1465" s="7" t="str">
        <f>HYPERLINK("https://twitter.com/NoticiarioES","@NoticiarioES")</f>
        <v>@NoticiarioES</v>
      </c>
      <c r="C1465" s="8" t="s">
        <v>5836</v>
      </c>
      <c r="D1465" s="9" t="s">
        <v>5837</v>
      </c>
      <c r="E1465" s="10" t="str">
        <f>HYPERLINK("https://twitter.com/NoticiarioES/status/1070368490941497344","1070368490941497344")</f>
        <v>1070368490941497344</v>
      </c>
      <c r="F1465" s="13" t="s">
        <v>5838</v>
      </c>
      <c r="G1465" s="11"/>
      <c r="H1465" s="11"/>
      <c r="I1465" s="14">
        <v>0</v>
      </c>
      <c r="J1465" s="14">
        <v>0</v>
      </c>
      <c r="K1465" s="15" t="str">
        <f>HYPERLINK("https://buffer.com","Buffer")</f>
        <v>Buffer</v>
      </c>
      <c r="L1465" s="14">
        <v>203</v>
      </c>
      <c r="M1465" s="14">
        <v>6</v>
      </c>
      <c r="N1465" s="14">
        <v>7</v>
      </c>
      <c r="O1465" s="16"/>
      <c r="P1465" s="6">
        <v>39678.946342592593</v>
      </c>
      <c r="Q1465" s="12" t="s">
        <v>5839</v>
      </c>
      <c r="R1465" s="17" t="s">
        <v>5840</v>
      </c>
      <c r="S1465" s="13" t="s">
        <v>5842</v>
      </c>
      <c r="T1465" s="11"/>
      <c r="U1465" s="10" t="str">
        <f>HYPERLINK("https://pbs.twimg.com/profile_images/994642847935664130/qdn8TSqA.jpg","View")</f>
        <v>View</v>
      </c>
    </row>
    <row r="1466" spans="1:21" ht="30.6">
      <c r="A1466" s="6">
        <v>43439.766747685186</v>
      </c>
      <c r="B1466" s="7" t="str">
        <f>HYPERLINK("https://twitter.com/DANIROD75","@DANIROD75")</f>
        <v>@DANIROD75</v>
      </c>
      <c r="C1466" s="8" t="s">
        <v>4900</v>
      </c>
      <c r="D1466" s="9" t="s">
        <v>4901</v>
      </c>
      <c r="E1466" s="10" t="str">
        <f>HYPERLINK("https://twitter.com/DANIROD75/status/1070368232228429824","1070368232228429824")</f>
        <v>1070368232228429824</v>
      </c>
      <c r="F1466" s="11"/>
      <c r="G1466" s="11"/>
      <c r="H1466" s="11"/>
      <c r="I1466" s="14">
        <v>0</v>
      </c>
      <c r="J1466" s="14">
        <v>0</v>
      </c>
      <c r="K1466" s="15" t="str">
        <f>HYPERLINK("http://twitter.com/download/iphone","Twitter for iPhone")</f>
        <v>Twitter for iPhone</v>
      </c>
      <c r="L1466" s="14">
        <v>125</v>
      </c>
      <c r="M1466" s="14">
        <v>333</v>
      </c>
      <c r="N1466" s="14">
        <v>5</v>
      </c>
      <c r="O1466" s="16"/>
      <c r="P1466" s="6">
        <v>40472.707303240742</v>
      </c>
      <c r="Q1466" s="11"/>
      <c r="R1466" s="17" t="s">
        <v>4902</v>
      </c>
      <c r="S1466" s="11"/>
      <c r="T1466" s="11"/>
      <c r="U1466" s="10" t="str">
        <f>HYPERLINK("https://pbs.twimg.com/profile_images/671591799899713536/1d3xopgh.jpg","View")</f>
        <v>View</v>
      </c>
    </row>
    <row r="1467" spans="1:21" ht="51">
      <c r="A1467" s="6">
        <v>43439.766712962963</v>
      </c>
      <c r="B1467" s="7" t="str">
        <f>HYPERLINK("https://twitter.com/Rankxerox1984","@Rankxerox1984")</f>
        <v>@Rankxerox1984</v>
      </c>
      <c r="C1467" s="8" t="s">
        <v>4903</v>
      </c>
      <c r="D1467" s="9" t="s">
        <v>4904</v>
      </c>
      <c r="E1467" s="10" t="str">
        <f>HYPERLINK("https://twitter.com/Rankxerox1984/status/1070368217187672065","1070368217187672065")</f>
        <v>1070368217187672065</v>
      </c>
      <c r="F1467" s="12" t="s">
        <v>4907</v>
      </c>
      <c r="G1467" s="11"/>
      <c r="H1467" s="11"/>
      <c r="I1467" s="14">
        <v>0</v>
      </c>
      <c r="J1467" s="14">
        <v>0</v>
      </c>
      <c r="K1467" s="15" t="str">
        <f>HYPERLINK("http://twitter.com/download/android","Twitter for Android")</f>
        <v>Twitter for Android</v>
      </c>
      <c r="L1467" s="14">
        <v>151</v>
      </c>
      <c r="M1467" s="14">
        <v>353</v>
      </c>
      <c r="N1467" s="14">
        <v>8</v>
      </c>
      <c r="O1467" s="16"/>
      <c r="P1467" s="6">
        <v>40682.444305555553</v>
      </c>
      <c r="Q1467" s="12" t="s">
        <v>1856</v>
      </c>
      <c r="R1467" s="17" t="s">
        <v>4908</v>
      </c>
      <c r="S1467" s="11"/>
      <c r="T1467" s="11"/>
      <c r="U1467" s="10" t="str">
        <f>HYPERLINK("https://pbs.twimg.com/profile_images/1545147441/JORGE.jpg","View")</f>
        <v>View</v>
      </c>
    </row>
    <row r="1468" spans="1:21" ht="20.399999999999999">
      <c r="A1468" s="6">
        <v>43439.766203703708</v>
      </c>
      <c r="B1468" s="7" t="str">
        <f>HYPERLINK("https://twitter.com/EPNacional","@EPNacional")</f>
        <v>@EPNacional</v>
      </c>
      <c r="C1468" s="8" t="s">
        <v>5845</v>
      </c>
      <c r="D1468" s="9" t="s">
        <v>4318</v>
      </c>
      <c r="E1468" s="10" t="str">
        <f>HYPERLINK("https://twitter.com/EPNacional/status/1070368034936770560","1070368034936770560")</f>
        <v>1070368034936770560</v>
      </c>
      <c r="F1468" s="13" t="s">
        <v>4926</v>
      </c>
      <c r="G1468" s="11"/>
      <c r="H1468" s="11"/>
      <c r="I1468" s="14">
        <v>0</v>
      </c>
      <c r="J1468" s="14">
        <v>0</v>
      </c>
      <c r="K1468" s="15" t="str">
        <f>HYPERLINK("http://www.europapress.es/nacional","Twitter editor Nacional")</f>
        <v>Twitter editor Nacional</v>
      </c>
      <c r="L1468" s="14">
        <v>10779</v>
      </c>
      <c r="M1468" s="14">
        <v>128</v>
      </c>
      <c r="N1468" s="14">
        <v>239</v>
      </c>
      <c r="O1468" s="19" t="s">
        <v>42</v>
      </c>
      <c r="P1468" s="6">
        <v>41708.447858796295</v>
      </c>
      <c r="Q1468" s="11"/>
      <c r="R1468" s="17" t="s">
        <v>5848</v>
      </c>
      <c r="S1468" s="13" t="s">
        <v>5849</v>
      </c>
      <c r="T1468" s="11"/>
      <c r="U1468" s="10" t="str">
        <f>HYPERLINK("https://pbs.twimg.com/profile_images/877113547158847488/eIlueLsb.jpg","View")</f>
        <v>View</v>
      </c>
    </row>
    <row r="1469" spans="1:21" ht="40.799999999999997">
      <c r="A1469" s="6">
        <v>43439.76390046296</v>
      </c>
      <c r="B1469" s="7" t="str">
        <f>HYPERLINK("https://twitter.com/tabarniaBCN","@tabarniaBCN")</f>
        <v>@tabarniaBCN</v>
      </c>
      <c r="C1469" s="8" t="s">
        <v>4913</v>
      </c>
      <c r="D1469" s="9" t="s">
        <v>4914</v>
      </c>
      <c r="E1469" s="10" t="str">
        <f>HYPERLINK("https://twitter.com/tabarniaBCN/status/1070367197976035329","1070367197976035329")</f>
        <v>1070367197976035329</v>
      </c>
      <c r="F1469" s="13" t="s">
        <v>4917</v>
      </c>
      <c r="G1469" s="11"/>
      <c r="H1469" s="11"/>
      <c r="I1469" s="14">
        <v>0</v>
      </c>
      <c r="J1469" s="14">
        <v>1</v>
      </c>
      <c r="K1469" s="15" t="str">
        <f>HYPERLINK("http://twitter.com/download/android","Twitter for Android")</f>
        <v>Twitter for Android</v>
      </c>
      <c r="L1469" s="14">
        <v>4179</v>
      </c>
      <c r="M1469" s="14">
        <v>3454</v>
      </c>
      <c r="N1469" s="14">
        <v>13</v>
      </c>
      <c r="O1469" s="16"/>
      <c r="P1469" s="6">
        <v>41381.421180555553</v>
      </c>
      <c r="Q1469" s="12" t="s">
        <v>4922</v>
      </c>
      <c r="R1469" s="17" t="s">
        <v>4923</v>
      </c>
      <c r="S1469" s="11"/>
      <c r="T1469" s="11"/>
      <c r="U1469" s="10" t="str">
        <f>HYPERLINK("https://pbs.twimg.com/profile_images/1034314700148944896/xWGyZsMT.jpg","View")</f>
        <v>View</v>
      </c>
    </row>
    <row r="1470" spans="1:21" ht="40.799999999999997">
      <c r="A1470" s="6">
        <v>43439.763090277775</v>
      </c>
      <c r="B1470" s="7" t="str">
        <f>HYPERLINK("https://twitter.com/PdeSamos","@PdeSamos")</f>
        <v>@PdeSamos</v>
      </c>
      <c r="C1470" s="8" t="s">
        <v>794</v>
      </c>
      <c r="D1470" s="9" t="s">
        <v>5852</v>
      </c>
      <c r="E1470" s="10" t="str">
        <f>HYPERLINK("https://twitter.com/PdeSamos/status/1070366903934353415","1070366903934353415")</f>
        <v>1070366903934353415</v>
      </c>
      <c r="F1470" s="13" t="s">
        <v>5854</v>
      </c>
      <c r="G1470" s="11"/>
      <c r="H1470" s="11"/>
      <c r="I1470" s="14">
        <v>0</v>
      </c>
      <c r="J1470" s="14">
        <v>0</v>
      </c>
      <c r="K1470" s="15" t="str">
        <f>HYPERLINK("http://republico.ddns.net","App Libertad PdeSamos")</f>
        <v>App Libertad PdeSamos</v>
      </c>
      <c r="L1470" s="14">
        <v>5398</v>
      </c>
      <c r="M1470" s="14">
        <v>5441</v>
      </c>
      <c r="N1470" s="14">
        <v>12</v>
      </c>
      <c r="O1470" s="16"/>
      <c r="P1470" s="6">
        <v>42889.820567129631</v>
      </c>
      <c r="Q1470" s="12" t="s">
        <v>800</v>
      </c>
      <c r="R1470" s="17" t="s">
        <v>801</v>
      </c>
      <c r="S1470" s="11"/>
      <c r="T1470" s="11"/>
      <c r="U1470" s="10" t="str">
        <f>HYPERLINK("https://pbs.twimg.com/profile_images/871063742003511296/xK2IYbrO.jpg","View")</f>
        <v>View</v>
      </c>
    </row>
    <row r="1471" spans="1:21" ht="30.6">
      <c r="A1471" s="6">
        <v>43439.762777777782</v>
      </c>
      <c r="B1471" s="7" t="str">
        <f>HYPERLINK("https://twitter.com/NosUneAndalucia","@NosUneAndalucia")</f>
        <v>@NosUneAndalucia</v>
      </c>
      <c r="C1471" s="8" t="s">
        <v>5855</v>
      </c>
      <c r="D1471" s="9" t="s">
        <v>5856</v>
      </c>
      <c r="E1471" s="10" t="str">
        <f>HYPERLINK("https://twitter.com/NosUneAndalucia/status/1070366794588831744","1070366794588831744")</f>
        <v>1070366794588831744</v>
      </c>
      <c r="F1471" s="13" t="s">
        <v>4932</v>
      </c>
      <c r="G1471" s="11"/>
      <c r="H1471" s="11"/>
      <c r="I1471" s="14">
        <v>0</v>
      </c>
      <c r="J1471" s="14">
        <v>0</v>
      </c>
      <c r="K1471" s="15" t="str">
        <f>HYPERLINK("https://ifttt.com","IFTTT")</f>
        <v>IFTTT</v>
      </c>
      <c r="L1471" s="14">
        <v>298</v>
      </c>
      <c r="M1471" s="14">
        <v>91</v>
      </c>
      <c r="N1471" s="14">
        <v>2</v>
      </c>
      <c r="O1471" s="16"/>
      <c r="P1471" s="6">
        <v>41983.74936342593</v>
      </c>
      <c r="Q1471" s="11"/>
      <c r="R1471" s="18"/>
      <c r="S1471" s="11"/>
      <c r="T1471" s="11"/>
      <c r="U1471" s="10" t="str">
        <f>HYPERLINK("https://pbs.twimg.com/profile_images/558688568718401536/d5CzkzeT.jpeg","View")</f>
        <v>View</v>
      </c>
    </row>
    <row r="1472" spans="1:21" ht="40.799999999999997">
      <c r="A1472" s="6">
        <v>43439.761562500003</v>
      </c>
      <c r="B1472" s="7" t="str">
        <f>HYPERLINK("https://twitter.com/martinidemar","@martinidemar")</f>
        <v>@martinidemar</v>
      </c>
      <c r="C1472" s="8" t="s">
        <v>5860</v>
      </c>
      <c r="D1472" s="9" t="s">
        <v>4065</v>
      </c>
      <c r="E1472" s="10" t="str">
        <f>HYPERLINK("https://twitter.com/martinidemar/status/1070366352660197376","1070366352660197376")</f>
        <v>1070366352660197376</v>
      </c>
      <c r="F1472" s="13" t="s">
        <v>3869</v>
      </c>
      <c r="G1472" s="11"/>
      <c r="H1472" s="11"/>
      <c r="I1472" s="14">
        <v>1</v>
      </c>
      <c r="J1472" s="14">
        <v>1</v>
      </c>
      <c r="K1472" s="15" t="str">
        <f t="shared" ref="K1472:K1473" si="296">HYPERLINK("http://twitter.com","Twitter Web Client")</f>
        <v>Twitter Web Client</v>
      </c>
      <c r="L1472" s="14">
        <v>9986</v>
      </c>
      <c r="M1472" s="14">
        <v>2428</v>
      </c>
      <c r="N1472" s="14">
        <v>416</v>
      </c>
      <c r="O1472" s="16"/>
      <c r="P1472" s="6">
        <v>40522.434224537035</v>
      </c>
      <c r="Q1472" s="12" t="s">
        <v>5863</v>
      </c>
      <c r="R1472" s="17" t="s">
        <v>5864</v>
      </c>
      <c r="S1472" s="13" t="s">
        <v>5865</v>
      </c>
      <c r="T1472" s="11"/>
      <c r="U1472" s="10" t="str">
        <f>HYPERLINK("https://pbs.twimg.com/profile_images/1043116090618986496/14zPiSFt.jpg","View")</f>
        <v>View</v>
      </c>
    </row>
    <row r="1473" spans="1:21" ht="30.6">
      <c r="A1473" s="6">
        <v>43439.76153935185</v>
      </c>
      <c r="B1473" s="7" t="str">
        <f>HYPERLINK("https://twitter.com/EPcongreso","@EPcongreso")</f>
        <v>@EPcongreso</v>
      </c>
      <c r="C1473" s="8" t="s">
        <v>4924</v>
      </c>
      <c r="D1473" s="9" t="s">
        <v>4925</v>
      </c>
      <c r="E1473" s="10" t="str">
        <f>HYPERLINK("https://twitter.com/EPcongreso/status/1070366342954577920","1070366342954577920")</f>
        <v>1070366342954577920</v>
      </c>
      <c r="F1473" s="13" t="s">
        <v>4926</v>
      </c>
      <c r="G1473" s="11"/>
      <c r="H1473" s="11"/>
      <c r="I1473" s="14">
        <v>4</v>
      </c>
      <c r="J1473" s="14">
        <v>4</v>
      </c>
      <c r="K1473" s="15" t="str">
        <f t="shared" si="296"/>
        <v>Twitter Web Client</v>
      </c>
      <c r="L1473" s="14">
        <v>11316</v>
      </c>
      <c r="M1473" s="14">
        <v>613</v>
      </c>
      <c r="N1473" s="14">
        <v>400</v>
      </c>
      <c r="O1473" s="16"/>
      <c r="P1473" s="6">
        <v>40784.872511574074</v>
      </c>
      <c r="Q1473" s="12" t="s">
        <v>29</v>
      </c>
      <c r="R1473" s="17" t="s">
        <v>4929</v>
      </c>
      <c r="S1473" s="13" t="s">
        <v>3142</v>
      </c>
      <c r="T1473" s="11"/>
      <c r="U1473" s="10" t="str">
        <f>HYPERLINK("https://pbs.twimg.com/profile_images/877100964884475904/m1W8CAUp.jpg","View")</f>
        <v>View</v>
      </c>
    </row>
    <row r="1474" spans="1:21" ht="30.6">
      <c r="A1474" s="6">
        <v>43439.76152777778</v>
      </c>
      <c r="B1474" s="7" t="str">
        <f>HYPERLINK("https://twitter.com/ManuelHerradaSe","@ManuelHerradaSe")</f>
        <v>@ManuelHerradaSe</v>
      </c>
      <c r="C1474" s="8" t="s">
        <v>4930</v>
      </c>
      <c r="D1474" s="9" t="s">
        <v>4931</v>
      </c>
      <c r="E1474" s="10" t="str">
        <f>HYPERLINK("https://twitter.com/ManuelHerradaSe/status/1070366340001746945","1070366340001746945")</f>
        <v>1070366340001746945</v>
      </c>
      <c r="F1474" s="13" t="s">
        <v>4932</v>
      </c>
      <c r="G1474" s="11"/>
      <c r="H1474" s="11"/>
      <c r="I1474" s="14">
        <v>0</v>
      </c>
      <c r="J1474" s="14">
        <v>0</v>
      </c>
      <c r="K1474" s="15" t="str">
        <f t="shared" ref="K1474:K1477" si="297">HYPERLINK("http://twitter.com/download/android","Twitter for Android")</f>
        <v>Twitter for Android</v>
      </c>
      <c r="L1474" s="14">
        <v>1021</v>
      </c>
      <c r="M1474" s="14">
        <v>753</v>
      </c>
      <c r="N1474" s="14">
        <v>19</v>
      </c>
      <c r="O1474" s="16"/>
      <c r="P1474" s="6">
        <v>40967.408541666664</v>
      </c>
      <c r="Q1474" s="12" t="s">
        <v>2085</v>
      </c>
      <c r="R1474" s="17" t="s">
        <v>4933</v>
      </c>
      <c r="S1474" s="11"/>
      <c r="T1474" s="11"/>
      <c r="U1474" s="10" t="str">
        <f>HYPERLINK("https://pbs.twimg.com/profile_images/799701837750407168/_eLmRAUB.jpg","View")</f>
        <v>View</v>
      </c>
    </row>
    <row r="1475" spans="1:21" ht="81.599999999999994">
      <c r="A1475" s="6">
        <v>43439.761377314819</v>
      </c>
      <c r="B1475" s="7" t="str">
        <f>HYPERLINK("https://twitter.com/ivanrm81","@ivanrm81")</f>
        <v>@ivanrm81</v>
      </c>
      <c r="C1475" s="8" t="s">
        <v>1961</v>
      </c>
      <c r="D1475" s="9" t="s">
        <v>4937</v>
      </c>
      <c r="E1475" s="10" t="str">
        <f>HYPERLINK("https://twitter.com/ivanrm81/status/1070366283210743808","1070366283210743808")</f>
        <v>1070366283210743808</v>
      </c>
      <c r="F1475" s="13" t="s">
        <v>1853</v>
      </c>
      <c r="G1475" s="13" t="s">
        <v>1835</v>
      </c>
      <c r="H1475" s="11"/>
      <c r="I1475" s="14">
        <v>0</v>
      </c>
      <c r="J1475" s="14">
        <v>0</v>
      </c>
      <c r="K1475" s="15" t="str">
        <f t="shared" si="297"/>
        <v>Twitter for Android</v>
      </c>
      <c r="L1475" s="14">
        <v>366</v>
      </c>
      <c r="M1475" s="14">
        <v>250</v>
      </c>
      <c r="N1475" s="14">
        <v>12</v>
      </c>
      <c r="O1475" s="16"/>
      <c r="P1475" s="6">
        <v>40041.712083333332</v>
      </c>
      <c r="Q1475" s="12" t="s">
        <v>4939</v>
      </c>
      <c r="R1475" s="17" t="s">
        <v>4940</v>
      </c>
      <c r="S1475" s="11"/>
      <c r="T1475" s="11"/>
      <c r="U1475" s="10" t="str">
        <f>HYPERLINK("https://pbs.twimg.com/profile_images/955558614667849729/LmKTPBjl.jpg","View")</f>
        <v>View</v>
      </c>
    </row>
    <row r="1476" spans="1:21" ht="13.2">
      <c r="A1476" s="6">
        <v>43439.761249999996</v>
      </c>
      <c r="B1476" s="7" t="str">
        <f>HYPERLINK("https://twitter.com/angel_lapelos","@angel_lapelos")</f>
        <v>@angel_lapelos</v>
      </c>
      <c r="C1476" s="8" t="s">
        <v>3719</v>
      </c>
      <c r="D1476" s="9" t="s">
        <v>5875</v>
      </c>
      <c r="E1476" s="10" t="str">
        <f>HYPERLINK("https://twitter.com/angel_lapelos/status/1070366238428332032","1070366238428332032")</f>
        <v>1070366238428332032</v>
      </c>
      <c r="F1476" s="13" t="s">
        <v>4926</v>
      </c>
      <c r="G1476" s="11"/>
      <c r="H1476" s="11"/>
      <c r="I1476" s="14">
        <v>0</v>
      </c>
      <c r="J1476" s="14">
        <v>0</v>
      </c>
      <c r="K1476" s="15" t="str">
        <f t="shared" si="297"/>
        <v>Twitter for Android</v>
      </c>
      <c r="L1476" s="14">
        <v>1438</v>
      </c>
      <c r="M1476" s="14">
        <v>1425</v>
      </c>
      <c r="N1476" s="14">
        <v>39</v>
      </c>
      <c r="O1476" s="16"/>
      <c r="P1476" s="6">
        <v>41980.994618055556</v>
      </c>
      <c r="Q1476" s="11"/>
      <c r="R1476" s="17" t="s">
        <v>3722</v>
      </c>
      <c r="S1476" s="11"/>
      <c r="T1476" s="11"/>
      <c r="U1476" s="10" t="str">
        <f>HYPERLINK("https://pbs.twimg.com/profile_images/1058680423361011712/zH3ftYWk.jpg","View")</f>
        <v>View</v>
      </c>
    </row>
    <row r="1477" spans="1:21" ht="13.2">
      <c r="A1477" s="6">
        <v>43439.760428240741</v>
      </c>
      <c r="B1477" s="7" t="str">
        <f>HYPERLINK("https://twitter.com/Chuchi31418795","@Chuchi31418795")</f>
        <v>@Chuchi31418795</v>
      </c>
      <c r="C1477" s="8" t="s">
        <v>5879</v>
      </c>
      <c r="D1477" s="9" t="s">
        <v>2347</v>
      </c>
      <c r="E1477" s="10" t="str">
        <f>HYPERLINK("https://twitter.com/Chuchi31418795/status/1070365939902885888","1070365939902885888")</f>
        <v>1070365939902885888</v>
      </c>
      <c r="F1477" s="13" t="s">
        <v>2349</v>
      </c>
      <c r="G1477" s="11"/>
      <c r="H1477" s="11"/>
      <c r="I1477" s="14">
        <v>0</v>
      </c>
      <c r="J1477" s="14">
        <v>0</v>
      </c>
      <c r="K1477" s="15" t="str">
        <f t="shared" si="297"/>
        <v>Twitter for Android</v>
      </c>
      <c r="L1477" s="14">
        <v>165</v>
      </c>
      <c r="M1477" s="14">
        <v>334</v>
      </c>
      <c r="N1477" s="14">
        <v>0</v>
      </c>
      <c r="O1477" s="16"/>
      <c r="P1477" s="6">
        <v>43308.418124999997</v>
      </c>
      <c r="Q1477" s="12" t="s">
        <v>1285</v>
      </c>
      <c r="R1477" s="17" t="s">
        <v>5883</v>
      </c>
      <c r="S1477" s="11"/>
      <c r="T1477" s="11"/>
      <c r="U1477" s="10" t="str">
        <f>HYPERLINK("https://pbs.twimg.com/profile_images/1053334241185067008/PI1oz-Pl.jpg","View")</f>
        <v>View</v>
      </c>
    </row>
    <row r="1478" spans="1:21" ht="20.399999999999999">
      <c r="A1478" s="6">
        <v>43439.75708333333</v>
      </c>
      <c r="B1478" s="7" t="str">
        <f>HYPERLINK("https://twitter.com/lluitadorcat","@lluitadorcat")</f>
        <v>@lluitadorcat</v>
      </c>
      <c r="C1478" s="8" t="s">
        <v>5886</v>
      </c>
      <c r="D1478" s="9" t="s">
        <v>4269</v>
      </c>
      <c r="E1478" s="10" t="str">
        <f>HYPERLINK("https://twitter.com/lluitadorcat/status/1070364727837024257","1070364727837024257")</f>
        <v>1070364727837024257</v>
      </c>
      <c r="F1478" s="13" t="s">
        <v>4270</v>
      </c>
      <c r="G1478" s="11"/>
      <c r="H1478" s="11"/>
      <c r="I1478" s="14">
        <v>0</v>
      </c>
      <c r="J1478" s="14">
        <v>0</v>
      </c>
      <c r="K1478" s="15" t="str">
        <f>HYPERLINK("http://twitter.com","Twitter Web Client")</f>
        <v>Twitter Web Client</v>
      </c>
      <c r="L1478" s="14">
        <v>2451</v>
      </c>
      <c r="M1478" s="14">
        <v>3147</v>
      </c>
      <c r="N1478" s="14">
        <v>12</v>
      </c>
      <c r="O1478" s="16"/>
      <c r="P1478" s="6">
        <v>40564.677939814814</v>
      </c>
      <c r="Q1478" s="12" t="s">
        <v>581</v>
      </c>
      <c r="R1478" s="17" t="s">
        <v>5890</v>
      </c>
      <c r="S1478" s="11"/>
      <c r="T1478" s="11"/>
      <c r="U1478" s="10" t="str">
        <f>HYPERLINK("https://pbs.twimg.com/profile_images/988727069394833408/s73HdMhO.jpg","View")</f>
        <v>View</v>
      </c>
    </row>
    <row r="1479" spans="1:21" ht="61.2">
      <c r="A1479" s="6">
        <v>43439.75277777778</v>
      </c>
      <c r="B1479" s="7" t="str">
        <f>HYPERLINK("https://twitter.com/pipio44","@pipio44")</f>
        <v>@pipio44</v>
      </c>
      <c r="C1479" s="8" t="s">
        <v>4942</v>
      </c>
      <c r="D1479" s="9" t="s">
        <v>4943</v>
      </c>
      <c r="E1479" s="10" t="str">
        <f>HYPERLINK("https://twitter.com/pipio44/status/1070363170714345472","1070363170714345472")</f>
        <v>1070363170714345472</v>
      </c>
      <c r="F1479" s="12" t="s">
        <v>4944</v>
      </c>
      <c r="G1479" s="13" t="s">
        <v>4945</v>
      </c>
      <c r="H1479" s="11"/>
      <c r="I1479" s="14">
        <v>2</v>
      </c>
      <c r="J1479" s="14">
        <v>2</v>
      </c>
      <c r="K1479" s="15" t="str">
        <f t="shared" ref="K1479:K1480" si="298">HYPERLINK("http://twitter.com/download/iphone","Twitter for iPhone")</f>
        <v>Twitter for iPhone</v>
      </c>
      <c r="L1479" s="14">
        <v>744</v>
      </c>
      <c r="M1479" s="14">
        <v>540</v>
      </c>
      <c r="N1479" s="14">
        <v>28</v>
      </c>
      <c r="O1479" s="16"/>
      <c r="P1479" s="6">
        <v>40771.038275462961</v>
      </c>
      <c r="Q1479" s="11"/>
      <c r="R1479" s="17" t="s">
        <v>4946</v>
      </c>
      <c r="S1479" s="11"/>
      <c r="T1479" s="11"/>
      <c r="U1479" s="10" t="str">
        <f>HYPERLINK("https://pbs.twimg.com/profile_images/1052141810347364353/8JWxa8CG.jpg","View")</f>
        <v>View</v>
      </c>
    </row>
    <row r="1480" spans="1:21" ht="20.399999999999999">
      <c r="A1480" s="6">
        <v>43439.752592592587</v>
      </c>
      <c r="B1480" s="7" t="str">
        <f>HYPERLINK("https://twitter.com/santienercat","@santienercat")</f>
        <v>@santienercat</v>
      </c>
      <c r="C1480" s="8" t="s">
        <v>5895</v>
      </c>
      <c r="D1480" s="9" t="s">
        <v>5896</v>
      </c>
      <c r="E1480" s="10" t="str">
        <f>HYPERLINK("https://twitter.com/santienercat/status/1070363100115804160","1070363100115804160")</f>
        <v>1070363100115804160</v>
      </c>
      <c r="F1480" s="13" t="s">
        <v>4089</v>
      </c>
      <c r="G1480" s="11"/>
      <c r="H1480" s="11"/>
      <c r="I1480" s="14">
        <v>0</v>
      </c>
      <c r="J1480" s="14">
        <v>0</v>
      </c>
      <c r="K1480" s="15" t="str">
        <f t="shared" si="298"/>
        <v>Twitter for iPhone</v>
      </c>
      <c r="L1480" s="14">
        <v>11</v>
      </c>
      <c r="M1480" s="14">
        <v>48</v>
      </c>
      <c r="N1480" s="14">
        <v>0</v>
      </c>
      <c r="O1480" s="16"/>
      <c r="P1480" s="6">
        <v>42075.601180555561</v>
      </c>
      <c r="Q1480" s="12" t="s">
        <v>614</v>
      </c>
      <c r="R1480" s="18"/>
      <c r="S1480" s="11"/>
      <c r="T1480" s="11"/>
      <c r="U1480" s="10" t="str">
        <f>HYPERLINK("https://pbs.twimg.com/profile_images/1048211295546294273/msFvqVdo.jpg","View")</f>
        <v>View</v>
      </c>
    </row>
    <row r="1481" spans="1:21" ht="51">
      <c r="A1481" s="6">
        <v>43439.751388888893</v>
      </c>
      <c r="B1481" s="7" t="str">
        <f t="shared" ref="B1481:B1482" si="299">HYPERLINK("https://twitter.com/bitMomentum","@bitMomentum")</f>
        <v>@bitMomentum</v>
      </c>
      <c r="C1481" s="8" t="s">
        <v>1889</v>
      </c>
      <c r="D1481" s="9" t="s">
        <v>4947</v>
      </c>
      <c r="E1481" s="10" t="str">
        <f>HYPERLINK("https://twitter.com/bitMomentum/status/1070362664168292352","1070362664168292352")</f>
        <v>1070362664168292352</v>
      </c>
      <c r="F1481" s="11"/>
      <c r="G1481" s="11"/>
      <c r="H1481" s="11"/>
      <c r="I1481" s="14">
        <v>0</v>
      </c>
      <c r="J1481" s="14">
        <v>0</v>
      </c>
      <c r="K1481" s="15" t="str">
        <f t="shared" ref="K1481:K1482" si="300">HYPERLINK("http://www.bitmomentum.com","bitMomentum Bot")</f>
        <v>bitMomentum Bot</v>
      </c>
      <c r="L1481" s="14">
        <v>10254</v>
      </c>
      <c r="M1481" s="14">
        <v>1059</v>
      </c>
      <c r="N1481" s="14">
        <v>263</v>
      </c>
      <c r="O1481" s="16"/>
      <c r="P1481" s="6">
        <v>41608.667511574073</v>
      </c>
      <c r="Q1481" s="11"/>
      <c r="R1481" s="17" t="s">
        <v>1897</v>
      </c>
      <c r="S1481" s="13" t="s">
        <v>1898</v>
      </c>
      <c r="T1481" s="11"/>
      <c r="U1481" s="10" t="str">
        <f t="shared" ref="U1481:U1482" si="301">HYPERLINK("https://pbs.twimg.com/profile_images/378800000862185241/20ij2H3u.png","View")</f>
        <v>View</v>
      </c>
    </row>
    <row r="1482" spans="1:21" ht="51">
      <c r="A1482" s="6">
        <v>43439.750694444447</v>
      </c>
      <c r="B1482" s="7" t="str">
        <f t="shared" si="299"/>
        <v>@bitMomentum</v>
      </c>
      <c r="C1482" s="8" t="s">
        <v>1889</v>
      </c>
      <c r="D1482" s="9" t="s">
        <v>4952</v>
      </c>
      <c r="E1482" s="10" t="str">
        <f>HYPERLINK("https://twitter.com/bitMomentum/status/1070362412526825472","1070362412526825472")</f>
        <v>1070362412526825472</v>
      </c>
      <c r="F1482" s="11"/>
      <c r="G1482" s="11"/>
      <c r="H1482" s="11"/>
      <c r="I1482" s="14">
        <v>0</v>
      </c>
      <c r="J1482" s="14">
        <v>0</v>
      </c>
      <c r="K1482" s="15" t="str">
        <f t="shared" si="300"/>
        <v>bitMomentum Bot</v>
      </c>
      <c r="L1482" s="14">
        <v>10254</v>
      </c>
      <c r="M1482" s="14">
        <v>1059</v>
      </c>
      <c r="N1482" s="14">
        <v>263</v>
      </c>
      <c r="O1482" s="16"/>
      <c r="P1482" s="6">
        <v>41608.667511574073</v>
      </c>
      <c r="Q1482" s="11"/>
      <c r="R1482" s="17" t="s">
        <v>1897</v>
      </c>
      <c r="S1482" s="13" t="s">
        <v>1898</v>
      </c>
      <c r="T1482" s="11"/>
      <c r="U1482" s="10" t="str">
        <f t="shared" si="301"/>
        <v>View</v>
      </c>
    </row>
    <row r="1483" spans="1:21" ht="51">
      <c r="A1483" s="6">
        <v>43439.750115740739</v>
      </c>
      <c r="B1483" s="7" t="str">
        <f>HYPERLINK("https://twitter.com/Blancacl_","@Blancacl_")</f>
        <v>@Blancacl_</v>
      </c>
      <c r="C1483" s="8" t="s">
        <v>4955</v>
      </c>
      <c r="D1483" s="9" t="s">
        <v>4956</v>
      </c>
      <c r="E1483" s="10" t="str">
        <f>HYPERLINK("https://twitter.com/Blancacl_/status/1070362203327479808","1070362203327479808")</f>
        <v>1070362203327479808</v>
      </c>
      <c r="F1483" s="11"/>
      <c r="G1483" s="13" t="s">
        <v>4959</v>
      </c>
      <c r="H1483" s="11"/>
      <c r="I1483" s="14">
        <v>12</v>
      </c>
      <c r="J1483" s="14">
        <v>18</v>
      </c>
      <c r="K1483" s="15" t="str">
        <f>HYPERLINK("http://twitter.com/download/iphone","Twitter for iPhone")</f>
        <v>Twitter for iPhone</v>
      </c>
      <c r="L1483" s="14">
        <v>356</v>
      </c>
      <c r="M1483" s="14">
        <v>892</v>
      </c>
      <c r="N1483" s="14">
        <v>2</v>
      </c>
      <c r="O1483" s="16"/>
      <c r="P1483" s="6">
        <v>42159.612071759257</v>
      </c>
      <c r="Q1483" s="11"/>
      <c r="R1483" s="17" t="s">
        <v>4960</v>
      </c>
      <c r="S1483" s="11"/>
      <c r="T1483" s="11"/>
      <c r="U1483" s="10" t="str">
        <f>HYPERLINK("https://pbs.twimg.com/profile_images/988702588785905664/Cn6b5reW.jpg","View")</f>
        <v>View</v>
      </c>
    </row>
    <row r="1484" spans="1:21" ht="30.6">
      <c r="A1484" s="6">
        <v>43439.749606481477</v>
      </c>
      <c r="B1484" s="7" t="str">
        <f>HYPERLINK("https://twitter.com/MtnezCalleja","@MtnezCalleja")</f>
        <v>@MtnezCalleja</v>
      </c>
      <c r="C1484" s="8" t="s">
        <v>5907</v>
      </c>
      <c r="D1484" s="9" t="s">
        <v>5908</v>
      </c>
      <c r="E1484" s="10" t="str">
        <f>HYPERLINK("https://twitter.com/MtnezCalleja/status/1070362019218579456","1070362019218579456")</f>
        <v>1070362019218579456</v>
      </c>
      <c r="F1484" s="13" t="s">
        <v>4135</v>
      </c>
      <c r="G1484" s="11"/>
      <c r="H1484" s="11"/>
      <c r="I1484" s="14">
        <v>0</v>
      </c>
      <c r="J1484" s="14">
        <v>0</v>
      </c>
      <c r="K1484" s="15" t="str">
        <f>HYPERLINK("http://twitter.com","Twitter Web Client")</f>
        <v>Twitter Web Client</v>
      </c>
      <c r="L1484" s="14">
        <v>111</v>
      </c>
      <c r="M1484" s="14">
        <v>427</v>
      </c>
      <c r="N1484" s="14">
        <v>1</v>
      </c>
      <c r="O1484" s="16"/>
      <c r="P1484" s="6">
        <v>41381.754293981481</v>
      </c>
      <c r="Q1484" s="12" t="s">
        <v>5910</v>
      </c>
      <c r="R1484" s="17" t="s">
        <v>5911</v>
      </c>
      <c r="S1484" s="13" t="s">
        <v>5913</v>
      </c>
      <c r="T1484" s="11"/>
      <c r="U1484" s="10" t="str">
        <f>HYPERLINK("https://pbs.twimg.com/profile_images/654418582672154625/wGpooeLc.jpg","View")</f>
        <v>View</v>
      </c>
    </row>
    <row r="1485" spans="1:21" ht="30.6">
      <c r="A1485" s="6">
        <v>43439.749513888892</v>
      </c>
      <c r="B1485" s="7" t="str">
        <f>HYPERLINK("https://twitter.com/unmundolibre","@unmundolibre")</f>
        <v>@unmundolibre</v>
      </c>
      <c r="C1485" s="8" t="s">
        <v>5914</v>
      </c>
      <c r="D1485" s="9" t="s">
        <v>5915</v>
      </c>
      <c r="E1485" s="10" t="str">
        <f>HYPERLINK("https://twitter.com/unmundolibre/status/1070361988067459072","1070361988067459072")</f>
        <v>1070361988067459072</v>
      </c>
      <c r="F1485" s="11"/>
      <c r="G1485" s="13" t="s">
        <v>5917</v>
      </c>
      <c r="H1485" s="11"/>
      <c r="I1485" s="14">
        <v>6</v>
      </c>
      <c r="J1485" s="14">
        <v>5</v>
      </c>
      <c r="K1485" s="15" t="str">
        <f>HYPERLINK("http://twitter.com/download/iphone","Twitter for iPhone")</f>
        <v>Twitter for iPhone</v>
      </c>
      <c r="L1485" s="14">
        <v>13803</v>
      </c>
      <c r="M1485" s="14">
        <v>889</v>
      </c>
      <c r="N1485" s="14">
        <v>195</v>
      </c>
      <c r="O1485" s="16"/>
      <c r="P1485" s="6">
        <v>39548.50172453704</v>
      </c>
      <c r="Q1485" s="12" t="s">
        <v>5918</v>
      </c>
      <c r="R1485" s="17" t="s">
        <v>5919</v>
      </c>
      <c r="S1485" s="11"/>
      <c r="T1485" s="11"/>
      <c r="U1485" s="10" t="str">
        <f>HYPERLINK("https://pbs.twimg.com/profile_images/913497477600432128/CTJOp2JL.jpg","View")</f>
        <v>View</v>
      </c>
    </row>
    <row r="1486" spans="1:21" ht="40.799999999999997">
      <c r="A1486" s="6">
        <v>43439.749409722222</v>
      </c>
      <c r="B1486" s="7" t="str">
        <f>HYPERLINK("https://twitter.com/MaxiRockatansky","@MaxiRockatansky")</f>
        <v>@MaxiRockatansky</v>
      </c>
      <c r="C1486" s="8" t="s">
        <v>4962</v>
      </c>
      <c r="D1486" s="9" t="s">
        <v>4963</v>
      </c>
      <c r="E1486" s="10" t="str">
        <f>HYPERLINK("https://twitter.com/MaxiRockatansky/status/1070361949760876544","1070361949760876544")</f>
        <v>1070361949760876544</v>
      </c>
      <c r="F1486" s="13" t="s">
        <v>4964</v>
      </c>
      <c r="G1486" s="11"/>
      <c r="H1486" s="11"/>
      <c r="I1486" s="14">
        <v>1</v>
      </c>
      <c r="J1486" s="14">
        <v>1</v>
      </c>
      <c r="K1486" s="15" t="str">
        <f t="shared" ref="K1486:K1487" si="302">HYPERLINK("http://twitter.com","Twitter Web Client")</f>
        <v>Twitter Web Client</v>
      </c>
      <c r="L1486" s="14">
        <v>15</v>
      </c>
      <c r="M1486" s="14">
        <v>84</v>
      </c>
      <c r="N1486" s="14">
        <v>0</v>
      </c>
      <c r="O1486" s="16"/>
      <c r="P1486" s="6">
        <v>43281.819606481484</v>
      </c>
      <c r="Q1486" s="12" t="s">
        <v>4965</v>
      </c>
      <c r="R1486" s="17" t="s">
        <v>4966</v>
      </c>
      <c r="S1486" s="11"/>
      <c r="T1486" s="11"/>
      <c r="U1486" s="10" t="str">
        <f>HYPERLINK("https://pbs.twimg.com/profile_images/1018973970018832384/KHva7ghs.jpg","View")</f>
        <v>View</v>
      </c>
    </row>
    <row r="1487" spans="1:21" ht="51">
      <c r="A1487" s="6">
        <v>43439.748159722221</v>
      </c>
      <c r="B1487" s="7" t="str">
        <f>HYPERLINK("https://twitter.com/AmgelLlamas","@AmgelLlamas")</f>
        <v>@AmgelLlamas</v>
      </c>
      <c r="C1487" s="8" t="s">
        <v>5925</v>
      </c>
      <c r="D1487" s="9" t="s">
        <v>5926</v>
      </c>
      <c r="E1487" s="10" t="str">
        <f>HYPERLINK("https://twitter.com/AmgelLlamas/status/1070361496310435841","1070361496310435841")</f>
        <v>1070361496310435841</v>
      </c>
      <c r="F1487" s="13" t="s">
        <v>4135</v>
      </c>
      <c r="G1487" s="11"/>
      <c r="H1487" s="11"/>
      <c r="I1487" s="14">
        <v>0</v>
      </c>
      <c r="J1487" s="14">
        <v>0</v>
      </c>
      <c r="K1487" s="15" t="str">
        <f t="shared" si="302"/>
        <v>Twitter Web Client</v>
      </c>
      <c r="L1487" s="14">
        <v>82</v>
      </c>
      <c r="M1487" s="14">
        <v>623</v>
      </c>
      <c r="N1487" s="14">
        <v>0</v>
      </c>
      <c r="O1487" s="16"/>
      <c r="P1487" s="6">
        <v>43352.556354166663</v>
      </c>
      <c r="Q1487" s="12" t="s">
        <v>5929</v>
      </c>
      <c r="R1487" s="17" t="s">
        <v>5930</v>
      </c>
      <c r="S1487" s="11"/>
      <c r="T1487" s="11"/>
      <c r="U1487" s="10" t="str">
        <f>HYPERLINK("https://pbs.twimg.com/profile_images/1038758318095917056/VU2D6qHS.jpg","View")</f>
        <v>View</v>
      </c>
    </row>
    <row r="1488" spans="1:21" ht="30.6">
      <c r="A1488" s="6">
        <v>43439.748078703706</v>
      </c>
      <c r="B1488" s="7" t="str">
        <f>HYPERLINK("https://twitter.com/_mest0","@_mest0")</f>
        <v>@_mest0</v>
      </c>
      <c r="C1488" s="8" t="s">
        <v>5936</v>
      </c>
      <c r="D1488" s="9" t="s">
        <v>5937</v>
      </c>
      <c r="E1488" s="10" t="str">
        <f>HYPERLINK("https://twitter.com/_mest0/status/1070361465645924352","1070361465645924352")</f>
        <v>1070361465645924352</v>
      </c>
      <c r="F1488" s="13" t="s">
        <v>5938</v>
      </c>
      <c r="G1488" s="11"/>
      <c r="H1488" s="11"/>
      <c r="I1488" s="14">
        <v>0</v>
      </c>
      <c r="J1488" s="14">
        <v>0</v>
      </c>
      <c r="K1488" s="15" t="str">
        <f t="shared" ref="K1488:K1489" si="303">HYPERLINK("http://twitter.com/download/android","Twitter for Android")</f>
        <v>Twitter for Android</v>
      </c>
      <c r="L1488" s="14">
        <v>92</v>
      </c>
      <c r="M1488" s="14">
        <v>74</v>
      </c>
      <c r="N1488" s="14">
        <v>3</v>
      </c>
      <c r="O1488" s="16"/>
      <c r="P1488" s="6">
        <v>42368.391481481478</v>
      </c>
      <c r="Q1488" s="12" t="s">
        <v>29</v>
      </c>
      <c r="R1488" s="17" t="s">
        <v>5941</v>
      </c>
      <c r="S1488" s="11"/>
      <c r="T1488" s="11"/>
      <c r="U1488" s="10" t="str">
        <f>HYPERLINK("https://pbs.twimg.com/profile_images/1005220640876621824/246MyQP8.jpg","View")</f>
        <v>View</v>
      </c>
    </row>
    <row r="1489" spans="1:21" ht="51">
      <c r="A1489" s="6">
        <v>43439.747534722221</v>
      </c>
      <c r="B1489" s="7" t="str">
        <f>HYPERLINK("https://twitter.com/triconmartin","@triconmartin")</f>
        <v>@triconmartin</v>
      </c>
      <c r="C1489" s="8" t="s">
        <v>5947</v>
      </c>
      <c r="D1489" s="9" t="s">
        <v>5948</v>
      </c>
      <c r="E1489" s="10" t="str">
        <f>HYPERLINK("https://twitter.com/triconmartin/status/1070361269297930240","1070361269297930240")</f>
        <v>1070361269297930240</v>
      </c>
      <c r="F1489" s="11"/>
      <c r="G1489" s="11"/>
      <c r="H1489" s="11"/>
      <c r="I1489" s="14">
        <v>0</v>
      </c>
      <c r="J1489" s="14">
        <v>0</v>
      </c>
      <c r="K1489" s="15" t="str">
        <f t="shared" si="303"/>
        <v>Twitter for Android</v>
      </c>
      <c r="L1489" s="14">
        <v>99</v>
      </c>
      <c r="M1489" s="14">
        <v>354</v>
      </c>
      <c r="N1489" s="14">
        <v>1</v>
      </c>
      <c r="O1489" s="16"/>
      <c r="P1489" s="6">
        <v>42025.961678240739</v>
      </c>
      <c r="Q1489" s="11"/>
      <c r="R1489" s="18"/>
      <c r="S1489" s="11"/>
      <c r="T1489" s="11"/>
      <c r="U1489" s="10" t="str">
        <f>HYPERLINK("https://pbs.twimg.com/profile_images/558023044757991424/L2-k8zEK.jpeg","View")</f>
        <v>View</v>
      </c>
    </row>
    <row r="1490" spans="1:21" ht="20.399999999999999">
      <c r="A1490" s="6">
        <v>43439.746134259258</v>
      </c>
      <c r="B1490" s="7" t="str">
        <f>HYPERLINK("https://twitter.com/JimRipense59","@JimRipense59")</f>
        <v>@JimRipense59</v>
      </c>
      <c r="C1490" s="8" t="s">
        <v>5951</v>
      </c>
      <c r="D1490" s="9" t="s">
        <v>5952</v>
      </c>
      <c r="E1490" s="10" t="str">
        <f>HYPERLINK("https://twitter.com/JimRipense59/status/1070360760591691776","1070360760591691776")</f>
        <v>1070360760591691776</v>
      </c>
      <c r="F1490" s="11"/>
      <c r="G1490" s="13" t="s">
        <v>5955</v>
      </c>
      <c r="H1490" s="11"/>
      <c r="I1490" s="14">
        <v>21</v>
      </c>
      <c r="J1490" s="14">
        <v>23</v>
      </c>
      <c r="K1490" s="15" t="str">
        <f t="shared" ref="K1490:K1492" si="304">HYPERLINK("http://twitter.com","Twitter Web Client")</f>
        <v>Twitter Web Client</v>
      </c>
      <c r="L1490" s="14">
        <v>10930</v>
      </c>
      <c r="M1490" s="14">
        <v>7506</v>
      </c>
      <c r="N1490" s="14">
        <v>115</v>
      </c>
      <c r="O1490" s="16"/>
      <c r="P1490" s="6">
        <v>40865.965127314819</v>
      </c>
      <c r="Q1490" s="11"/>
      <c r="R1490" s="17" t="s">
        <v>5960</v>
      </c>
      <c r="S1490" s="13" t="s">
        <v>5961</v>
      </c>
      <c r="T1490" s="11"/>
      <c r="U1490" s="10" t="str">
        <f>HYPERLINK("https://pbs.twimg.com/profile_images/926724227956465664/VBYXT4_A.jpg","View")</f>
        <v>View</v>
      </c>
    </row>
    <row r="1491" spans="1:21" ht="71.400000000000006">
      <c r="A1491" s="6">
        <v>43439.745821759258</v>
      </c>
      <c r="B1491" s="7" t="str">
        <f>HYPERLINK("https://twitter.com/el_tatxu","@el_tatxu")</f>
        <v>@el_tatxu</v>
      </c>
      <c r="C1491" s="8" t="s">
        <v>4967</v>
      </c>
      <c r="D1491" s="9" t="s">
        <v>4968</v>
      </c>
      <c r="E1491" s="10" t="str">
        <f>HYPERLINK("https://twitter.com/el_tatxu/status/1070360648431910912","1070360648431910912")</f>
        <v>1070360648431910912</v>
      </c>
      <c r="F1491" s="13" t="s">
        <v>4969</v>
      </c>
      <c r="G1491" s="13" t="s">
        <v>4970</v>
      </c>
      <c r="H1491" s="11"/>
      <c r="I1491" s="14">
        <v>0</v>
      </c>
      <c r="J1491" s="14">
        <v>0</v>
      </c>
      <c r="K1491" s="15" t="str">
        <f t="shared" si="304"/>
        <v>Twitter Web Client</v>
      </c>
      <c r="L1491" s="14">
        <v>165</v>
      </c>
      <c r="M1491" s="14">
        <v>221</v>
      </c>
      <c r="N1491" s="14">
        <v>2</v>
      </c>
      <c r="O1491" s="16"/>
      <c r="P1491" s="6">
        <v>42410.555266203708</v>
      </c>
      <c r="Q1491" s="12" t="s">
        <v>1785</v>
      </c>
      <c r="R1491" s="17" t="s">
        <v>4971</v>
      </c>
      <c r="S1491" s="11"/>
      <c r="T1491" s="11"/>
      <c r="U1491" s="10" t="str">
        <f>HYPERLINK("https://pbs.twimg.com/profile_images/1040648136908267527/Yp6cTlYQ.jpg","View")</f>
        <v>View</v>
      </c>
    </row>
    <row r="1492" spans="1:21" ht="30.6">
      <c r="A1492" s="6">
        <v>43439.745671296296</v>
      </c>
      <c r="B1492" s="7" t="str">
        <f>HYPERLINK("https://twitter.com/hugomabarca","@hugomabarca")</f>
        <v>@hugomabarca</v>
      </c>
      <c r="C1492" s="8" t="s">
        <v>5966</v>
      </c>
      <c r="D1492" s="9" t="s">
        <v>5967</v>
      </c>
      <c r="E1492" s="10" t="str">
        <f>HYPERLINK("https://twitter.com/hugomabarca/status/1070360593138417664","1070360593138417664")</f>
        <v>1070360593138417664</v>
      </c>
      <c r="F1492" s="13" t="s">
        <v>4615</v>
      </c>
      <c r="G1492" s="11"/>
      <c r="H1492" s="11"/>
      <c r="I1492" s="14">
        <v>6</v>
      </c>
      <c r="J1492" s="14">
        <v>8</v>
      </c>
      <c r="K1492" s="15" t="str">
        <f t="shared" si="304"/>
        <v>Twitter Web Client</v>
      </c>
      <c r="L1492" s="14">
        <v>35733</v>
      </c>
      <c r="M1492" s="14">
        <v>1909</v>
      </c>
      <c r="N1492" s="14">
        <v>839</v>
      </c>
      <c r="O1492" s="19" t="s">
        <v>42</v>
      </c>
      <c r="P1492" s="6">
        <v>39755.866886574076</v>
      </c>
      <c r="Q1492" s="12" t="s">
        <v>29</v>
      </c>
      <c r="R1492" s="17" t="s">
        <v>5969</v>
      </c>
      <c r="S1492" s="13" t="s">
        <v>5970</v>
      </c>
      <c r="T1492" s="11"/>
      <c r="U1492" s="10" t="str">
        <f>HYPERLINK("https://pbs.twimg.com/profile_images/796670896580730880/2_sDemq-.jpg","View")</f>
        <v>View</v>
      </c>
    </row>
    <row r="1493" spans="1:21" ht="40.799999999999997">
      <c r="A1493" s="6">
        <v>43439.74491898148</v>
      </c>
      <c r="B1493" s="7" t="str">
        <f>HYPERLINK("https://twitter.com/Mazcota2","@Mazcota2")</f>
        <v>@Mazcota2</v>
      </c>
      <c r="C1493" s="8" t="s">
        <v>5973</v>
      </c>
      <c r="D1493" s="9" t="s">
        <v>5975</v>
      </c>
      <c r="E1493" s="10" t="str">
        <f>HYPERLINK("https://twitter.com/Mazcota2/status/1070360322102439936","1070360322102439936")</f>
        <v>1070360322102439936</v>
      </c>
      <c r="F1493" s="11"/>
      <c r="G1493" s="11"/>
      <c r="H1493" s="11"/>
      <c r="I1493" s="14">
        <v>0</v>
      </c>
      <c r="J1493" s="14">
        <v>0</v>
      </c>
      <c r="K1493" s="15" t="str">
        <f>HYPERLINK("http://twitter.com/download/iphone","Twitter for iPhone")</f>
        <v>Twitter for iPhone</v>
      </c>
      <c r="L1493" s="14">
        <v>50</v>
      </c>
      <c r="M1493" s="14">
        <v>83</v>
      </c>
      <c r="N1493" s="14">
        <v>0</v>
      </c>
      <c r="O1493" s="16"/>
      <c r="P1493" s="6">
        <v>43225.687754629631</v>
      </c>
      <c r="Q1493" s="11"/>
      <c r="R1493" s="18"/>
      <c r="S1493" s="11"/>
      <c r="T1493" s="11"/>
      <c r="U1493" s="10" t="str">
        <f>HYPERLINK("https://pbs.twimg.com/profile_images/993105963849863168/9-lTBBKF.jpg","View")</f>
        <v>View</v>
      </c>
    </row>
    <row r="1494" spans="1:21" ht="40.799999999999997">
      <c r="A1494" s="6">
        <v>43439.743101851855</v>
      </c>
      <c r="B1494" s="7" t="str">
        <f>HYPERLINK("https://twitter.com/dlobatob","@dlobatob")</f>
        <v>@dlobatob</v>
      </c>
      <c r="C1494" s="8" t="s">
        <v>5977</v>
      </c>
      <c r="D1494" s="9" t="s">
        <v>5978</v>
      </c>
      <c r="E1494" s="10" t="str">
        <f>HYPERLINK("https://twitter.com/dlobatob/status/1070359663001157632","1070359663001157632")</f>
        <v>1070359663001157632</v>
      </c>
      <c r="F1494" s="13" t="s">
        <v>5981</v>
      </c>
      <c r="G1494" s="11"/>
      <c r="H1494" s="11"/>
      <c r="I1494" s="14">
        <v>2</v>
      </c>
      <c r="J1494" s="14">
        <v>2</v>
      </c>
      <c r="K1494" s="15" t="str">
        <f>HYPERLINK("https://mobile.twitter.com","Twitter Lite")</f>
        <v>Twitter Lite</v>
      </c>
      <c r="L1494" s="14">
        <v>2128</v>
      </c>
      <c r="M1494" s="14">
        <v>2438</v>
      </c>
      <c r="N1494" s="14">
        <v>52</v>
      </c>
      <c r="O1494" s="16"/>
      <c r="P1494" s="6">
        <v>40275.498993055553</v>
      </c>
      <c r="Q1494" s="12" t="s">
        <v>5983</v>
      </c>
      <c r="R1494" s="17" t="s">
        <v>5984</v>
      </c>
      <c r="S1494" s="13" t="s">
        <v>5985</v>
      </c>
      <c r="T1494" s="11"/>
      <c r="U1494" s="10" t="str">
        <f>HYPERLINK("https://pbs.twimg.com/profile_images/692729986940342272/4mR_fUh1.jpg","View")</f>
        <v>View</v>
      </c>
    </row>
    <row r="1495" spans="1:21" ht="51">
      <c r="A1495" s="6">
        <v>43439.742222222223</v>
      </c>
      <c r="B1495" s="7" t="str">
        <f>HYPERLINK("https://twitter.com/sedlr_","@sedlr_")</f>
        <v>@sedlr_</v>
      </c>
      <c r="C1495" s="8" t="s">
        <v>5988</v>
      </c>
      <c r="D1495" s="9" t="s">
        <v>5989</v>
      </c>
      <c r="E1495" s="10" t="str">
        <f>HYPERLINK("https://twitter.com/sedlr_/status/1070359341818093568","1070359341818093568")</f>
        <v>1070359341818093568</v>
      </c>
      <c r="F1495" s="11"/>
      <c r="G1495" s="13" t="s">
        <v>5990</v>
      </c>
      <c r="H1495" s="11"/>
      <c r="I1495" s="14">
        <v>46</v>
      </c>
      <c r="J1495" s="14">
        <v>66</v>
      </c>
      <c r="K1495" s="15" t="str">
        <f>HYPERLINK("http://twitter.com/download/android","Twitter for Android")</f>
        <v>Twitter for Android</v>
      </c>
      <c r="L1495" s="14">
        <v>8637</v>
      </c>
      <c r="M1495" s="14">
        <v>7892</v>
      </c>
      <c r="N1495" s="14">
        <v>30</v>
      </c>
      <c r="O1495" s="16"/>
      <c r="P1495" s="6">
        <v>41250.693912037037</v>
      </c>
      <c r="Q1495" s="12" t="s">
        <v>1870</v>
      </c>
      <c r="R1495" s="18"/>
      <c r="S1495" s="11"/>
      <c r="T1495" s="11"/>
      <c r="U1495" s="10" t="str">
        <f>HYPERLINK("https://pbs.twimg.com/profile_images/1026984752270782464/dquFa8_K.jpg","View")</f>
        <v>View</v>
      </c>
    </row>
    <row r="1496" spans="1:21" ht="71.400000000000006">
      <c r="A1496" s="6">
        <v>43439.740011574075</v>
      </c>
      <c r="B1496" s="7" t="str">
        <f>HYPERLINK("https://twitter.com/albertinyo10","@albertinyo10")</f>
        <v>@albertinyo10</v>
      </c>
      <c r="C1496" s="8" t="s">
        <v>4972</v>
      </c>
      <c r="D1496" s="9" t="s">
        <v>4973</v>
      </c>
      <c r="E1496" s="10" t="str">
        <f>HYPERLINK("https://twitter.com/albertinyo10/status/1070358542367027200","1070358542367027200")</f>
        <v>1070358542367027200</v>
      </c>
      <c r="F1496" s="12" t="s">
        <v>4523</v>
      </c>
      <c r="G1496" s="11"/>
      <c r="H1496" s="11"/>
      <c r="I1496" s="14">
        <v>0</v>
      </c>
      <c r="J1496" s="14">
        <v>0</v>
      </c>
      <c r="K1496" s="15" t="str">
        <f>HYPERLINK("http://twitter.com/download/iphone","Twitter for iPhone")</f>
        <v>Twitter for iPhone</v>
      </c>
      <c r="L1496" s="14">
        <v>1384</v>
      </c>
      <c r="M1496" s="14">
        <v>772</v>
      </c>
      <c r="N1496" s="14">
        <v>46</v>
      </c>
      <c r="O1496" s="16"/>
      <c r="P1496" s="6">
        <v>41191.720925925925</v>
      </c>
      <c r="Q1496" s="12" t="s">
        <v>4974</v>
      </c>
      <c r="R1496" s="17" t="s">
        <v>4975</v>
      </c>
      <c r="S1496" s="13" t="s">
        <v>4976</v>
      </c>
      <c r="T1496" s="11"/>
      <c r="U1496" s="10" t="str">
        <f>HYPERLINK("https://pbs.twimg.com/profile_images/1041784151219859456/QuRs-BwN.jpg","View")</f>
        <v>View</v>
      </c>
    </row>
    <row r="1497" spans="1:21" ht="30.6">
      <c r="A1497" s="6">
        <v>43439.73914351852</v>
      </c>
      <c r="B1497" s="7" t="str">
        <f>HYPERLINK("https://twitter.com/caag69","@caag69")</f>
        <v>@caag69</v>
      </c>
      <c r="C1497" s="8" t="s">
        <v>5997</v>
      </c>
      <c r="D1497" s="9" t="s">
        <v>5998</v>
      </c>
      <c r="E1497" s="10" t="str">
        <f>HYPERLINK("https://twitter.com/caag69/status/1070358229174140928","1070358229174140928")</f>
        <v>1070358229174140928</v>
      </c>
      <c r="F1497" s="11"/>
      <c r="G1497" s="11"/>
      <c r="H1497" s="11"/>
      <c r="I1497" s="14">
        <v>0</v>
      </c>
      <c r="J1497" s="14">
        <v>0</v>
      </c>
      <c r="K1497" s="15" t="str">
        <f>HYPERLINK("https://mobile.twitter.com","Twitter Lite")</f>
        <v>Twitter Lite</v>
      </c>
      <c r="L1497" s="14">
        <v>179</v>
      </c>
      <c r="M1497" s="14">
        <v>53</v>
      </c>
      <c r="N1497" s="14">
        <v>10</v>
      </c>
      <c r="O1497" s="16"/>
      <c r="P1497" s="6">
        <v>40606.983101851853</v>
      </c>
      <c r="Q1497" s="12" t="s">
        <v>1785</v>
      </c>
      <c r="R1497" s="17" t="s">
        <v>6002</v>
      </c>
      <c r="S1497" s="11"/>
      <c r="T1497" s="11"/>
      <c r="U1497" s="10" t="str">
        <f>HYPERLINK("https://pbs.twimg.com/profile_images/887657493987545089/uKLcShGU.jpg","View")</f>
        <v>View</v>
      </c>
    </row>
    <row r="1498" spans="1:21" ht="40.799999999999997">
      <c r="A1498" s="6">
        <v>43439.738437499997</v>
      </c>
      <c r="B1498" s="7" t="str">
        <f>HYPERLINK("https://twitter.com/mjguzman2010","@mjguzman2010")</f>
        <v>@mjguzman2010</v>
      </c>
      <c r="C1498" s="8" t="s">
        <v>6005</v>
      </c>
      <c r="D1498" s="9" t="s">
        <v>6006</v>
      </c>
      <c r="E1498" s="10" t="str">
        <f>HYPERLINK("https://twitter.com/mjguzman2010/status/1070357974160424961","1070357974160424961")</f>
        <v>1070357974160424961</v>
      </c>
      <c r="F1498" s="11"/>
      <c r="G1498" s="13" t="s">
        <v>6008</v>
      </c>
      <c r="H1498" s="11"/>
      <c r="I1498" s="14">
        <v>0</v>
      </c>
      <c r="J1498" s="14">
        <v>0</v>
      </c>
      <c r="K1498" s="15" t="str">
        <f>HYPERLINK("http://twitter.com/download/android","Twitter for Android")</f>
        <v>Twitter for Android</v>
      </c>
      <c r="L1498" s="14">
        <v>533</v>
      </c>
      <c r="M1498" s="14">
        <v>510</v>
      </c>
      <c r="N1498" s="14">
        <v>14</v>
      </c>
      <c r="O1498" s="16"/>
      <c r="P1498" s="6">
        <v>41784.918877314813</v>
      </c>
      <c r="Q1498" s="12" t="s">
        <v>6009</v>
      </c>
      <c r="R1498" s="17" t="s">
        <v>6010</v>
      </c>
      <c r="S1498" s="11"/>
      <c r="T1498" s="11"/>
      <c r="U1498" s="10" t="str">
        <f>HYPERLINK("https://pbs.twimg.com/profile_images/470658719890808832/pJzcuvSu.jpeg","View")</f>
        <v>View</v>
      </c>
    </row>
    <row r="1499" spans="1:21" ht="30.6">
      <c r="A1499" s="6">
        <v>43439.738310185188</v>
      </c>
      <c r="B1499" s="7" t="str">
        <f>HYPERLINK("https://twitter.com/telemadrid","@telemadrid")</f>
        <v>@telemadrid</v>
      </c>
      <c r="C1499" s="8" t="s">
        <v>3034</v>
      </c>
      <c r="D1499" s="9" t="s">
        <v>6013</v>
      </c>
      <c r="E1499" s="10" t="str">
        <f>HYPERLINK("https://twitter.com/telemadrid/status/1070357926068543488","1070357926068543488")</f>
        <v>1070357926068543488</v>
      </c>
      <c r="F1499" s="13" t="s">
        <v>6014</v>
      </c>
      <c r="G1499" s="11"/>
      <c r="H1499" s="11"/>
      <c r="I1499" s="14">
        <v>0</v>
      </c>
      <c r="J1499" s="14">
        <v>2</v>
      </c>
      <c r="K1499" s="15" t="str">
        <f>HYPERLINK("http://dogtrack.es","DogTrack_Oficial")</f>
        <v>DogTrack_Oficial</v>
      </c>
      <c r="L1499" s="14">
        <v>75671</v>
      </c>
      <c r="M1499" s="14">
        <v>25</v>
      </c>
      <c r="N1499" s="14">
        <v>1305</v>
      </c>
      <c r="O1499" s="19" t="s">
        <v>42</v>
      </c>
      <c r="P1499" s="6">
        <v>39918.718321759261</v>
      </c>
      <c r="Q1499" s="12" t="s">
        <v>3038</v>
      </c>
      <c r="R1499" s="17" t="s">
        <v>3039</v>
      </c>
      <c r="S1499" s="13" t="s">
        <v>3040</v>
      </c>
      <c r="T1499" s="11"/>
      <c r="U1499" s="10" t="str">
        <f>HYPERLINK("https://pbs.twimg.com/profile_images/971892668484734976/7hF5iQca.jpg","View")</f>
        <v>View</v>
      </c>
    </row>
    <row r="1500" spans="1:21" ht="51">
      <c r="A1500" s="6">
        <v>43439.736828703702</v>
      </c>
      <c r="B1500" s="7" t="str">
        <f>HYPERLINK("https://twitter.com/anadebande","@anadebande")</f>
        <v>@anadebande</v>
      </c>
      <c r="C1500" s="8" t="s">
        <v>4981</v>
      </c>
      <c r="D1500" s="9" t="s">
        <v>4982</v>
      </c>
      <c r="E1500" s="10" t="str">
        <f>HYPERLINK("https://twitter.com/anadebande/status/1070357390195863552","1070357390195863552")</f>
        <v>1070357390195863552</v>
      </c>
      <c r="F1500" s="12" t="s">
        <v>4983</v>
      </c>
      <c r="G1500" s="13" t="s">
        <v>4984</v>
      </c>
      <c r="H1500" s="11"/>
      <c r="I1500" s="14">
        <v>127</v>
      </c>
      <c r="J1500" s="14">
        <v>74</v>
      </c>
      <c r="K1500" s="15" t="str">
        <f>HYPERLINK("http://twitter.com/download/iphone","Twitter for iPhone")</f>
        <v>Twitter for iPhone</v>
      </c>
      <c r="L1500" s="14">
        <v>6299</v>
      </c>
      <c r="M1500" s="14">
        <v>587</v>
      </c>
      <c r="N1500" s="14">
        <v>133</v>
      </c>
      <c r="O1500" s="19" t="s">
        <v>42</v>
      </c>
      <c r="P1500" s="6">
        <v>40841.422974537039</v>
      </c>
      <c r="Q1500" s="12" t="s">
        <v>4988</v>
      </c>
      <c r="R1500" s="17" t="s">
        <v>4989</v>
      </c>
      <c r="S1500" s="13" t="s">
        <v>4990</v>
      </c>
      <c r="T1500" s="11"/>
      <c r="U1500" s="10" t="str">
        <f>HYPERLINK("https://pbs.twimg.com/profile_images/995293783087566848/o2-SvK9e.jpg","View")</f>
        <v>View</v>
      </c>
    </row>
    <row r="1501" spans="1:21" ht="51">
      <c r="A1501" s="6">
        <v>43439.736828703702</v>
      </c>
      <c r="B1501" s="7" t="str">
        <f>HYPERLINK("https://twitter.com/chequevara_","@chequevara_")</f>
        <v>@chequevara_</v>
      </c>
      <c r="C1501" s="8" t="s">
        <v>1066</v>
      </c>
      <c r="D1501" s="9" t="s">
        <v>6024</v>
      </c>
      <c r="E1501" s="10" t="str">
        <f>HYPERLINK("https://twitter.com/chequevara_/status/1070357389386354688","1070357389386354688")</f>
        <v>1070357389386354688</v>
      </c>
      <c r="F1501" s="11"/>
      <c r="G1501" s="13" t="s">
        <v>6027</v>
      </c>
      <c r="H1501" s="11"/>
      <c r="I1501" s="14">
        <v>3</v>
      </c>
      <c r="J1501" s="14">
        <v>2</v>
      </c>
      <c r="K1501" s="15" t="str">
        <f>HYPERLINK("http://twitter.com/download/android","Twitter for Android")</f>
        <v>Twitter for Android</v>
      </c>
      <c r="L1501" s="14">
        <v>2656</v>
      </c>
      <c r="M1501" s="14">
        <v>228</v>
      </c>
      <c r="N1501" s="14">
        <v>15</v>
      </c>
      <c r="O1501" s="16"/>
      <c r="P1501" s="6">
        <v>42374.437905092593</v>
      </c>
      <c r="Q1501" s="11"/>
      <c r="R1501" s="17" t="s">
        <v>1070</v>
      </c>
      <c r="S1501" s="11"/>
      <c r="T1501" s="11"/>
      <c r="U1501" s="10" t="str">
        <f>HYPERLINK("https://pbs.twimg.com/profile_images/957294038817951745/cEoYtoL8.jpg","View")</f>
        <v>View</v>
      </c>
    </row>
    <row r="1502" spans="1:21" ht="40.799999999999997">
      <c r="A1502" s="6">
        <v>43439.734722222223</v>
      </c>
      <c r="B1502" s="7" t="str">
        <f>HYPERLINK("https://twitter.com/CsCongreso","@CsCongreso")</f>
        <v>@CsCongreso</v>
      </c>
      <c r="C1502" s="8" t="s">
        <v>4739</v>
      </c>
      <c r="D1502" s="9" t="s">
        <v>4994</v>
      </c>
      <c r="E1502" s="10" t="str">
        <f>HYPERLINK("https://twitter.com/CsCongreso/status/1070356625419059201","1070356625419059201")</f>
        <v>1070356625419059201</v>
      </c>
      <c r="F1502" s="13" t="s">
        <v>4995</v>
      </c>
      <c r="G1502" s="13" t="s">
        <v>4996</v>
      </c>
      <c r="H1502" s="11"/>
      <c r="I1502" s="14">
        <v>8</v>
      </c>
      <c r="J1502" s="14">
        <v>10</v>
      </c>
      <c r="K1502" s="15" t="str">
        <f>HYPERLINK("https://studio.twitter.com","Twitter Media Studio")</f>
        <v>Twitter Media Studio</v>
      </c>
      <c r="L1502" s="14">
        <v>35515</v>
      </c>
      <c r="M1502" s="14">
        <v>9992</v>
      </c>
      <c r="N1502" s="14">
        <v>419</v>
      </c>
      <c r="O1502" s="19" t="s">
        <v>42</v>
      </c>
      <c r="P1502" s="6">
        <v>41533.434733796297</v>
      </c>
      <c r="Q1502" s="12" t="s">
        <v>137</v>
      </c>
      <c r="R1502" s="17" t="s">
        <v>4743</v>
      </c>
      <c r="S1502" s="13" t="s">
        <v>822</v>
      </c>
      <c r="T1502" s="11"/>
      <c r="U1502" s="10" t="str">
        <f>HYPERLINK("https://pbs.twimg.com/profile_images/885163719302557696/v7WiRi0W.jpg","View")</f>
        <v>View</v>
      </c>
    </row>
    <row r="1503" spans="1:21" ht="40.799999999999997">
      <c r="A1503" s="6">
        <v>43439.731747685189</v>
      </c>
      <c r="B1503" s="7" t="str">
        <f>HYPERLINK("https://twitter.com/xalomonte","@xalomonte")</f>
        <v>@xalomonte</v>
      </c>
      <c r="C1503" s="8" t="s">
        <v>6030</v>
      </c>
      <c r="D1503" s="9" t="s">
        <v>3290</v>
      </c>
      <c r="E1503" s="10" t="str">
        <f>HYPERLINK("https://twitter.com/xalomonte/status/1070355547201961984","1070355547201961984")</f>
        <v>1070355547201961984</v>
      </c>
      <c r="F1503" s="13" t="s">
        <v>6031</v>
      </c>
      <c r="G1503" s="11"/>
      <c r="H1503" s="11"/>
      <c r="I1503" s="14">
        <v>0</v>
      </c>
      <c r="J1503" s="14">
        <v>0</v>
      </c>
      <c r="K1503" s="15" t="str">
        <f>HYPERLINK("http://twitter.com","Twitter Web Client")</f>
        <v>Twitter Web Client</v>
      </c>
      <c r="L1503" s="14">
        <v>2137</v>
      </c>
      <c r="M1503" s="14">
        <v>2024</v>
      </c>
      <c r="N1503" s="14">
        <v>34</v>
      </c>
      <c r="O1503" s="16"/>
      <c r="P1503" s="6">
        <v>40394.780034722222</v>
      </c>
      <c r="Q1503" s="12" t="s">
        <v>6035</v>
      </c>
      <c r="R1503" s="17" t="s">
        <v>6037</v>
      </c>
      <c r="S1503" s="13" t="s">
        <v>6038</v>
      </c>
      <c r="T1503" s="11"/>
      <c r="U1503" s="10" t="str">
        <f>HYPERLINK("https://pbs.twimg.com/profile_images/497008794157608960/BSVZbeaB.jpeg","View")</f>
        <v>View</v>
      </c>
    </row>
    <row r="1504" spans="1:21" ht="71.400000000000006">
      <c r="A1504" s="6">
        <v>43439.731469907405</v>
      </c>
      <c r="B1504" s="7" t="str">
        <f>HYPERLINK("https://twitter.com/Rojiblanco_ATM","@Rojiblanco_ATM")</f>
        <v>@Rojiblanco_ATM</v>
      </c>
      <c r="C1504" s="8" t="s">
        <v>5002</v>
      </c>
      <c r="D1504" s="9" t="s">
        <v>5003</v>
      </c>
      <c r="E1504" s="10" t="str">
        <f>HYPERLINK("https://twitter.com/Rojiblanco_ATM/status/1070355445301370881","1070355445301370881")</f>
        <v>1070355445301370881</v>
      </c>
      <c r="F1504" s="12" t="s">
        <v>169</v>
      </c>
      <c r="G1504" s="13" t="s">
        <v>170</v>
      </c>
      <c r="H1504" s="11"/>
      <c r="I1504" s="14">
        <v>0</v>
      </c>
      <c r="J1504" s="14">
        <v>3</v>
      </c>
      <c r="K1504" s="15" t="str">
        <f t="shared" ref="K1504:K1505" si="305">HYPERLINK("http://twitter.com/download/android","Twitter for Android")</f>
        <v>Twitter for Android</v>
      </c>
      <c r="L1504" s="14">
        <v>974</v>
      </c>
      <c r="M1504" s="14">
        <v>499</v>
      </c>
      <c r="N1504" s="14">
        <v>6</v>
      </c>
      <c r="O1504" s="16"/>
      <c r="P1504" s="6">
        <v>41353.554340277777</v>
      </c>
      <c r="Q1504" s="12" t="s">
        <v>5007</v>
      </c>
      <c r="R1504" s="17" t="s">
        <v>5009</v>
      </c>
      <c r="S1504" s="13" t="s">
        <v>5010</v>
      </c>
      <c r="T1504" s="11"/>
      <c r="U1504" s="10" t="str">
        <f>HYPERLINK("https://pbs.twimg.com/profile_images/1017794795312418816/uorGD7Wo.jpg","View")</f>
        <v>View</v>
      </c>
    </row>
    <row r="1505" spans="1:21" ht="51">
      <c r="A1505" s="6">
        <v>43439.730925925927</v>
      </c>
      <c r="B1505" s="7" t="str">
        <f>HYPERLINK("https://twitter.com/lalocachina1","@lalocachina1")</f>
        <v>@lalocachina1</v>
      </c>
      <c r="C1505" s="8" t="s">
        <v>5015</v>
      </c>
      <c r="D1505" s="9" t="s">
        <v>5016</v>
      </c>
      <c r="E1505" s="10" t="str">
        <f>HYPERLINK("https://twitter.com/lalocachina1/status/1070355251105017857","1070355251105017857")</f>
        <v>1070355251105017857</v>
      </c>
      <c r="F1505" s="12" t="s">
        <v>3484</v>
      </c>
      <c r="G1505" s="11"/>
      <c r="H1505" s="11"/>
      <c r="I1505" s="14">
        <v>0</v>
      </c>
      <c r="J1505" s="14">
        <v>0</v>
      </c>
      <c r="K1505" s="15" t="str">
        <f t="shared" si="305"/>
        <v>Twitter for Android</v>
      </c>
      <c r="L1505" s="14">
        <v>762</v>
      </c>
      <c r="M1505" s="14">
        <v>851</v>
      </c>
      <c r="N1505" s="14">
        <v>0</v>
      </c>
      <c r="O1505" s="16"/>
      <c r="P1505" s="6">
        <v>42935.910879629635</v>
      </c>
      <c r="Q1505" s="11"/>
      <c r="R1505" s="17" t="s">
        <v>5019</v>
      </c>
      <c r="S1505" s="11"/>
      <c r="T1505" s="11"/>
      <c r="U1505" s="10" t="str">
        <f>HYPERLINK("https://pbs.twimg.com/profile_images/943808716159291392/QpURoSlZ.jpg","View")</f>
        <v>View</v>
      </c>
    </row>
    <row r="1506" spans="1:21" ht="30.6">
      <c r="A1506" s="6">
        <v>43439.729583333334</v>
      </c>
      <c r="B1506" s="7" t="str">
        <f>HYPERLINK("https://twitter.com/antoniorossi","@antoniorossi")</f>
        <v>@antoniorossi</v>
      </c>
      <c r="C1506" s="8" t="s">
        <v>5021</v>
      </c>
      <c r="D1506" s="9" t="s">
        <v>5022</v>
      </c>
      <c r="E1506" s="10" t="str">
        <f>HYPERLINK("https://twitter.com/antoniorossi/status/1070354762195968001","1070354762195968001")</f>
        <v>1070354762195968001</v>
      </c>
      <c r="F1506" s="11"/>
      <c r="G1506" s="13" t="s">
        <v>5025</v>
      </c>
      <c r="H1506" s="11"/>
      <c r="I1506" s="14">
        <v>5</v>
      </c>
      <c r="J1506" s="14">
        <v>24</v>
      </c>
      <c r="K1506" s="15" t="str">
        <f>HYPERLINK("http://twitter.com/download/iphone","Twitter for iPhone")</f>
        <v>Twitter for iPhone</v>
      </c>
      <c r="L1506" s="14">
        <v>42317</v>
      </c>
      <c r="M1506" s="14">
        <v>1156</v>
      </c>
      <c r="N1506" s="14">
        <v>250</v>
      </c>
      <c r="O1506" s="19" t="s">
        <v>42</v>
      </c>
      <c r="P1506" s="6">
        <v>40004.453842592593</v>
      </c>
      <c r="Q1506" s="12" t="s">
        <v>181</v>
      </c>
      <c r="R1506" s="17" t="s">
        <v>5028</v>
      </c>
      <c r="S1506" s="11"/>
      <c r="T1506" s="11"/>
      <c r="U1506" s="10" t="str">
        <f>HYPERLINK("https://pbs.twimg.com/profile_images/1054487687867056129/bnWEUYXI.jpg","View")</f>
        <v>View</v>
      </c>
    </row>
    <row r="1507" spans="1:21" ht="40.799999999999997">
      <c r="A1507" s="6">
        <v>43439.729270833333</v>
      </c>
      <c r="B1507" s="7" t="str">
        <f>HYPERLINK("https://twitter.com/lextresabogados","@lextresabogados")</f>
        <v>@lextresabogados</v>
      </c>
      <c r="C1507" s="8" t="s">
        <v>26</v>
      </c>
      <c r="D1507" s="9" t="s">
        <v>4279</v>
      </c>
      <c r="E1507" s="10" t="str">
        <f>HYPERLINK("https://twitter.com/lextresabogados/status/1070354650656882688","1070354650656882688")</f>
        <v>1070354650656882688</v>
      </c>
      <c r="F1507" s="13" t="s">
        <v>5029</v>
      </c>
      <c r="G1507" s="13" t="s">
        <v>6047</v>
      </c>
      <c r="H1507" s="11"/>
      <c r="I1507" s="14">
        <v>0</v>
      </c>
      <c r="J1507" s="14">
        <v>0</v>
      </c>
      <c r="K1507" s="15" t="str">
        <f>HYPERLINK("http://35.180.36.179","botize nueva")</f>
        <v>botize nueva</v>
      </c>
      <c r="L1507" s="14">
        <v>2912</v>
      </c>
      <c r="M1507" s="14">
        <v>3525</v>
      </c>
      <c r="N1507" s="14">
        <v>26</v>
      </c>
      <c r="O1507" s="16"/>
      <c r="P1507" s="6">
        <v>42880.770949074074</v>
      </c>
      <c r="Q1507" s="12" t="s">
        <v>35</v>
      </c>
      <c r="R1507" s="17" t="s">
        <v>36</v>
      </c>
      <c r="S1507" s="13" t="s">
        <v>37</v>
      </c>
      <c r="T1507" s="11"/>
      <c r="U1507" s="10" t="str">
        <f>HYPERLINK("https://pbs.twimg.com/profile_images/1068056978679898113/YnjKwiVy.jpg","View")</f>
        <v>View</v>
      </c>
    </row>
    <row r="1508" spans="1:21" ht="40.799999999999997">
      <c r="A1508" s="6">
        <v>43439.729166666672</v>
      </c>
      <c r="B1508" s="7" t="str">
        <f>HYPERLINK("https://twitter.com/larazon_es","@larazon_es")</f>
        <v>@larazon_es</v>
      </c>
      <c r="C1508" s="8" t="s">
        <v>3594</v>
      </c>
      <c r="D1508" s="9" t="s">
        <v>3595</v>
      </c>
      <c r="E1508" s="10" t="str">
        <f>HYPERLINK("https://twitter.com/larazon_es/status/1070354612073496578","1070354612073496578")</f>
        <v>1070354612073496578</v>
      </c>
      <c r="F1508" s="13" t="s">
        <v>5029</v>
      </c>
      <c r="G1508" s="13" t="s">
        <v>5030</v>
      </c>
      <c r="H1508" s="11"/>
      <c r="I1508" s="14">
        <v>2</v>
      </c>
      <c r="J1508" s="14">
        <v>8</v>
      </c>
      <c r="K1508" s="15" t="str">
        <f>HYPERLINK("http://dogtrack.es","DogTrack_Oficial")</f>
        <v>DogTrack_Oficial</v>
      </c>
      <c r="L1508" s="14">
        <v>442246</v>
      </c>
      <c r="M1508" s="14">
        <v>2961</v>
      </c>
      <c r="N1508" s="14">
        <v>6168</v>
      </c>
      <c r="O1508" s="19" t="s">
        <v>42</v>
      </c>
      <c r="P1508" s="6">
        <v>40218.530092592591</v>
      </c>
      <c r="Q1508" s="12" t="s">
        <v>137</v>
      </c>
      <c r="R1508" s="17" t="s">
        <v>3598</v>
      </c>
      <c r="S1508" s="13" t="s">
        <v>3599</v>
      </c>
      <c r="T1508" s="11"/>
      <c r="U1508" s="10" t="str">
        <f>HYPERLINK("https://pbs.twimg.com/profile_images/1038331271108341762/TPuwz6wc.jpg","View")</f>
        <v>View</v>
      </c>
    </row>
    <row r="1509" spans="1:21" ht="30.6">
      <c r="A1509" s="6">
        <v>43439.727500000001</v>
      </c>
      <c r="B1509" s="7" t="str">
        <f>HYPERLINK("https://twitter.com/CiudadanosCs","@CiudadanosCs")</f>
        <v>@CiudadanosCs</v>
      </c>
      <c r="C1509" s="8" t="s">
        <v>489</v>
      </c>
      <c r="D1509" s="9" t="s">
        <v>5034</v>
      </c>
      <c r="E1509" s="10" t="str">
        <f>HYPERLINK("https://twitter.com/CiudadanosCs/status/1070354007888154624","1070354007888154624")</f>
        <v>1070354007888154624</v>
      </c>
      <c r="F1509" s="13" t="s">
        <v>4238</v>
      </c>
      <c r="G1509" s="13" t="s">
        <v>4945</v>
      </c>
      <c r="H1509" s="11"/>
      <c r="I1509" s="14">
        <v>36</v>
      </c>
      <c r="J1509" s="14">
        <v>50</v>
      </c>
      <c r="K1509" s="15" t="str">
        <f>HYPERLINK("http://twitter.com","Twitter Web Client")</f>
        <v>Twitter Web Client</v>
      </c>
      <c r="L1509" s="14">
        <v>490821</v>
      </c>
      <c r="M1509" s="14">
        <v>93557</v>
      </c>
      <c r="N1509" s="14">
        <v>3338</v>
      </c>
      <c r="O1509" s="19" t="s">
        <v>42</v>
      </c>
      <c r="P1509" s="6">
        <v>39828.753460648149</v>
      </c>
      <c r="Q1509" s="12" t="s">
        <v>137</v>
      </c>
      <c r="R1509" s="17" t="s">
        <v>492</v>
      </c>
      <c r="S1509" s="13" t="s">
        <v>493</v>
      </c>
      <c r="T1509" s="11"/>
      <c r="U1509" s="10" t="str">
        <f>HYPERLINK("https://pbs.twimg.com/profile_images/1053554096161075200/1z77_zBZ.jpg","View")</f>
        <v>View</v>
      </c>
    </row>
    <row r="1510" spans="1:21" ht="51">
      <c r="A1510" s="6">
        <v>43439.72729166667</v>
      </c>
      <c r="B1510" s="7" t="str">
        <f>HYPERLINK("https://twitter.com/JoseSorzano","@JoseSorzano")</f>
        <v>@JoseSorzano</v>
      </c>
      <c r="C1510" s="8" t="s">
        <v>6058</v>
      </c>
      <c r="D1510" s="9" t="s">
        <v>6059</v>
      </c>
      <c r="E1510" s="10" t="str">
        <f>HYPERLINK("https://twitter.com/JoseSorzano/status/1070353934362050561","1070353934362050561")</f>
        <v>1070353934362050561</v>
      </c>
      <c r="F1510" s="11"/>
      <c r="G1510" s="13" t="s">
        <v>6061</v>
      </c>
      <c r="H1510" s="11"/>
      <c r="I1510" s="14">
        <v>4</v>
      </c>
      <c r="J1510" s="14">
        <v>5</v>
      </c>
      <c r="K1510" s="15" t="str">
        <f>HYPERLINK("http://twitter.com/download/android","Twitter for Android")</f>
        <v>Twitter for Android</v>
      </c>
      <c r="L1510" s="14">
        <v>178</v>
      </c>
      <c r="M1510" s="14">
        <v>320</v>
      </c>
      <c r="N1510" s="14">
        <v>2</v>
      </c>
      <c r="O1510" s="16"/>
      <c r="P1510" s="6">
        <v>41269.615439814814</v>
      </c>
      <c r="Q1510" s="12" t="s">
        <v>6063</v>
      </c>
      <c r="R1510" s="17" t="s">
        <v>6065</v>
      </c>
      <c r="S1510" s="11"/>
      <c r="T1510" s="11"/>
      <c r="U1510" s="10" t="str">
        <f>HYPERLINK("https://pbs.twimg.com/profile_images/3236741066/e726adaf25c8dae080798067730899a8.jpeg","View")</f>
        <v>View</v>
      </c>
    </row>
    <row r="1511" spans="1:21" ht="30.6">
      <c r="A1511" s="6">
        <v>43439.727152777778</v>
      </c>
      <c r="B1511" s="7" t="str">
        <f>HYPERLINK("https://twitter.com/Josema_vox_","@Josema_vox_")</f>
        <v>@Josema_vox_</v>
      </c>
      <c r="C1511" s="8" t="s">
        <v>5042</v>
      </c>
      <c r="D1511" s="9" t="s">
        <v>5043</v>
      </c>
      <c r="E1511" s="10" t="str">
        <f>HYPERLINK("https://twitter.com/Josema_vox_/status/1070353881882865664","1070353881882865664")</f>
        <v>1070353881882865664</v>
      </c>
      <c r="F1511" s="12" t="s">
        <v>5045</v>
      </c>
      <c r="G1511" s="11"/>
      <c r="H1511" s="11"/>
      <c r="I1511" s="14">
        <v>0</v>
      </c>
      <c r="J1511" s="14">
        <v>0</v>
      </c>
      <c r="K1511" s="15" t="str">
        <f>HYPERLINK("http://twitter.com","Twitter Web Client")</f>
        <v>Twitter Web Client</v>
      </c>
      <c r="L1511" s="14">
        <v>751</v>
      </c>
      <c r="M1511" s="14">
        <v>1061</v>
      </c>
      <c r="N1511" s="14">
        <v>2</v>
      </c>
      <c r="O1511" s="16"/>
      <c r="P1511" s="6">
        <v>43381.612210648149</v>
      </c>
      <c r="Q1511" s="12" t="s">
        <v>5046</v>
      </c>
      <c r="R1511" s="17" t="s">
        <v>5047</v>
      </c>
      <c r="S1511" s="11"/>
      <c r="T1511" s="11"/>
      <c r="U1511" s="10" t="str">
        <f>HYPERLINK("https://pbs.twimg.com/profile_images/1069628964707213318/T0X7wgoR.jpg","View")</f>
        <v>View</v>
      </c>
    </row>
    <row r="1512" spans="1:21" ht="81.599999999999994">
      <c r="A1512" s="6">
        <v>43439.726180555561</v>
      </c>
      <c r="B1512" s="7" t="str">
        <f>HYPERLINK("https://twitter.com/pacobrio","@pacobrio")</f>
        <v>@pacobrio</v>
      </c>
      <c r="C1512" s="8" t="s">
        <v>5048</v>
      </c>
      <c r="D1512" s="9" t="s">
        <v>5049</v>
      </c>
      <c r="E1512" s="10" t="str">
        <f>HYPERLINK("https://twitter.com/pacobrio/status/1070353532426092544","1070353532426092544")</f>
        <v>1070353532426092544</v>
      </c>
      <c r="F1512" s="13" t="s">
        <v>5050</v>
      </c>
      <c r="G1512" s="13" t="s">
        <v>5053</v>
      </c>
      <c r="H1512" s="11"/>
      <c r="I1512" s="14">
        <v>0</v>
      </c>
      <c r="J1512" s="14">
        <v>0</v>
      </c>
      <c r="K1512" s="15" t="str">
        <f>HYPERLINK("http://twitter.com/#!/download/ipad","Twitter for iPad")</f>
        <v>Twitter for iPad</v>
      </c>
      <c r="L1512" s="14">
        <v>413</v>
      </c>
      <c r="M1512" s="14">
        <v>327</v>
      </c>
      <c r="N1512" s="14">
        <v>21</v>
      </c>
      <c r="O1512" s="16"/>
      <c r="P1512" s="6">
        <v>40689.323425925926</v>
      </c>
      <c r="Q1512" s="12" t="s">
        <v>29</v>
      </c>
      <c r="R1512" s="17" t="s">
        <v>5056</v>
      </c>
      <c r="S1512" s="11"/>
      <c r="T1512" s="11"/>
      <c r="U1512" s="10" t="str">
        <f>HYPERLINK("https://pbs.twimg.com/profile_images/378800000761052656/dde7de6282519f048316b9f1d1ef2351.jpeg","View")</f>
        <v>View</v>
      </c>
    </row>
    <row r="1513" spans="1:21" ht="51">
      <c r="A1513" s="6">
        <v>43439.720532407402</v>
      </c>
      <c r="B1513" s="7" t="str">
        <f>HYPERLINK("https://twitter.com/allsetic","@allsetic")</f>
        <v>@allsetic</v>
      </c>
      <c r="C1513" s="8" t="s">
        <v>6071</v>
      </c>
      <c r="D1513" s="9" t="s">
        <v>6072</v>
      </c>
      <c r="E1513" s="10" t="str">
        <f>HYPERLINK("https://twitter.com/allsetic/status/1070351482489315328","1070351482489315328")</f>
        <v>1070351482489315328</v>
      </c>
      <c r="F1513" s="13" t="s">
        <v>1262</v>
      </c>
      <c r="G1513" s="11"/>
      <c r="H1513" s="11"/>
      <c r="I1513" s="14">
        <v>0</v>
      </c>
      <c r="J1513" s="14">
        <v>0</v>
      </c>
      <c r="K1513" s="15" t="str">
        <f t="shared" ref="K1513:K1514" si="306">HYPERLINK("https://ifttt.com","IFTTT")</f>
        <v>IFTTT</v>
      </c>
      <c r="L1513" s="14">
        <v>175</v>
      </c>
      <c r="M1513" s="14">
        <v>186</v>
      </c>
      <c r="N1513" s="14">
        <v>18</v>
      </c>
      <c r="O1513" s="16"/>
      <c r="P1513" s="6">
        <v>42618.752442129626</v>
      </c>
      <c r="Q1513" s="11"/>
      <c r="R1513" s="17" t="s">
        <v>6073</v>
      </c>
      <c r="S1513" s="13" t="s">
        <v>6074</v>
      </c>
      <c r="T1513" s="11"/>
      <c r="U1513" s="10" t="str">
        <f>HYPERLINK("https://pbs.twimg.com/profile_images/797845231093903360/a3C4ZRrv.jpg","View")</f>
        <v>View</v>
      </c>
    </row>
    <row r="1514" spans="1:21" ht="51">
      <c r="A1514" s="6">
        <v>43439.720509259263</v>
      </c>
      <c r="B1514" s="7" t="str">
        <f>HYPERLINK("https://twitter.com/eClipssi","@eClipssi")</f>
        <v>@eClipssi</v>
      </c>
      <c r="C1514" s="8" t="s">
        <v>6077</v>
      </c>
      <c r="D1514" s="9" t="s">
        <v>6078</v>
      </c>
      <c r="E1514" s="10" t="str">
        <f>HYPERLINK("https://twitter.com/eClipssi/status/1070351476516622336","1070351476516622336")</f>
        <v>1070351476516622336</v>
      </c>
      <c r="F1514" s="13" t="s">
        <v>1262</v>
      </c>
      <c r="G1514" s="13" t="s">
        <v>6079</v>
      </c>
      <c r="H1514" s="11"/>
      <c r="I1514" s="14">
        <v>0</v>
      </c>
      <c r="J1514" s="14">
        <v>0</v>
      </c>
      <c r="K1514" s="15" t="str">
        <f t="shared" si="306"/>
        <v>IFTTT</v>
      </c>
      <c r="L1514" s="14">
        <v>321</v>
      </c>
      <c r="M1514" s="14">
        <v>106</v>
      </c>
      <c r="N1514" s="14">
        <v>3</v>
      </c>
      <c r="O1514" s="16"/>
      <c r="P1514" s="6">
        <v>40200.11681712963</v>
      </c>
      <c r="Q1514" s="12" t="s">
        <v>6080</v>
      </c>
      <c r="R1514" s="17" t="s">
        <v>6081</v>
      </c>
      <c r="S1514" s="13" t="s">
        <v>6082</v>
      </c>
      <c r="T1514" s="11"/>
      <c r="U1514" s="10" t="str">
        <f>HYPERLINK("https://pbs.twimg.com/profile_images/720617768219975680/qMDY0YpR.jpg","View")</f>
        <v>View</v>
      </c>
    </row>
    <row r="1515" spans="1:21" ht="30.6">
      <c r="A1515" s="6">
        <v>43439.720451388886</v>
      </c>
      <c r="B1515" s="7" t="str">
        <f>HYPERLINK("https://twitter.com/patjdp","@patjdp")</f>
        <v>@patjdp</v>
      </c>
      <c r="C1515" s="8" t="s">
        <v>2163</v>
      </c>
      <c r="D1515" s="9" t="s">
        <v>6083</v>
      </c>
      <c r="E1515" s="10" t="str">
        <f>HYPERLINK("https://twitter.com/patjdp/status/1070351454509125632","1070351454509125632")</f>
        <v>1070351454509125632</v>
      </c>
      <c r="F1515" s="13" t="s">
        <v>4856</v>
      </c>
      <c r="G1515" s="11"/>
      <c r="H1515" s="11"/>
      <c r="I1515" s="14">
        <v>4</v>
      </c>
      <c r="J1515" s="14">
        <v>4</v>
      </c>
      <c r="K1515" s="15" t="str">
        <f>HYPERLINK("http://twitter.com/download/iphone","Twitter for iPhone")</f>
        <v>Twitter for iPhone</v>
      </c>
      <c r="L1515" s="14">
        <v>1565</v>
      </c>
      <c r="M1515" s="14">
        <v>1715</v>
      </c>
      <c r="N1515" s="14">
        <v>43</v>
      </c>
      <c r="O1515" s="16"/>
      <c r="P1515" s="6">
        <v>42013.657754629632</v>
      </c>
      <c r="Q1515" s="11"/>
      <c r="R1515" s="17" t="s">
        <v>2168</v>
      </c>
      <c r="S1515" s="11"/>
      <c r="T1515" s="11"/>
      <c r="U1515" s="10" t="str">
        <f>HYPERLINK("https://pbs.twimg.com/profile_images/914580937714884608/lWTfBn_8.jpg","View")</f>
        <v>View</v>
      </c>
    </row>
    <row r="1516" spans="1:21" ht="51">
      <c r="A1516" s="6">
        <v>43439.719641203701</v>
      </c>
      <c r="B1516" s="7" t="str">
        <f>HYPERLINK("https://twitter.com/BluetruthCom","@BluetruthCom")</f>
        <v>@BluetruthCom</v>
      </c>
      <c r="C1516" s="8" t="s">
        <v>4792</v>
      </c>
      <c r="D1516" s="9" t="s">
        <v>5066</v>
      </c>
      <c r="E1516" s="10" t="str">
        <f>HYPERLINK("https://twitter.com/BluetruthCom/status/1070351159611797504","1070351159611797504")</f>
        <v>1070351159611797504</v>
      </c>
      <c r="F1516" s="11"/>
      <c r="G1516" s="13" t="s">
        <v>5067</v>
      </c>
      <c r="H1516" s="11"/>
      <c r="I1516" s="14">
        <v>3</v>
      </c>
      <c r="J1516" s="14">
        <v>0</v>
      </c>
      <c r="K1516" s="15" t="str">
        <f>HYPERLINK("http://twitter.com","Twitter Web Client")</f>
        <v>Twitter Web Client</v>
      </c>
      <c r="L1516" s="14">
        <v>210</v>
      </c>
      <c r="M1516" s="14">
        <v>475</v>
      </c>
      <c r="N1516" s="14">
        <v>5</v>
      </c>
      <c r="O1516" s="16"/>
      <c r="P1516" s="6">
        <v>41186.909004629633</v>
      </c>
      <c r="Q1516" s="12" t="s">
        <v>1695</v>
      </c>
      <c r="R1516" s="17" t="s">
        <v>4795</v>
      </c>
      <c r="S1516" s="11"/>
      <c r="T1516" s="11"/>
      <c r="U1516" s="10" t="str">
        <f>HYPERLINK("https://pbs.twimg.com/profile_images/1007975507193942016/vaishrvW.jpg","View")</f>
        <v>View</v>
      </c>
    </row>
    <row r="1517" spans="1:21" ht="20.399999999999999">
      <c r="A1517" s="6">
        <v>43439.719560185185</v>
      </c>
      <c r="B1517" s="7" t="str">
        <f>HYPERLINK("https://twitter.com/radiopolla","@radiopolla")</f>
        <v>@radiopolla</v>
      </c>
      <c r="C1517" s="8" t="s">
        <v>6091</v>
      </c>
      <c r="D1517" s="9" t="s">
        <v>6092</v>
      </c>
      <c r="E1517" s="10" t="str">
        <f>HYPERLINK("https://twitter.com/radiopolla/status/1070351129916162048","1070351129916162048")</f>
        <v>1070351129916162048</v>
      </c>
      <c r="F1517" s="11"/>
      <c r="G1517" s="13" t="s">
        <v>6093</v>
      </c>
      <c r="H1517" s="11"/>
      <c r="I1517" s="14">
        <v>52</v>
      </c>
      <c r="J1517" s="14">
        <v>84</v>
      </c>
      <c r="K1517" s="15" t="str">
        <f>HYPERLINK("http://twitter.com/download/android","Twitter for Android")</f>
        <v>Twitter for Android</v>
      </c>
      <c r="L1517" s="14">
        <v>9843</v>
      </c>
      <c r="M1517" s="14">
        <v>10038</v>
      </c>
      <c r="N1517" s="14">
        <v>12</v>
      </c>
      <c r="O1517" s="16"/>
      <c r="P1517" s="6">
        <v>43148.488182870366</v>
      </c>
      <c r="Q1517" s="11"/>
      <c r="R1517" s="17" t="s">
        <v>6095</v>
      </c>
      <c r="S1517" s="11"/>
      <c r="T1517" s="11"/>
      <c r="U1517" s="10" t="str">
        <f>HYPERLINK("https://pbs.twimg.com/profile_images/1061255198906216449/j4iwKX5_.jpg","View")</f>
        <v>View</v>
      </c>
    </row>
    <row r="1518" spans="1:21" ht="40.799999999999997">
      <c r="A1518" s="6">
        <v>43439.718425925923</v>
      </c>
      <c r="B1518" s="7" t="str">
        <f>HYPERLINK("https://twitter.com/MFalcalde","@MFalcalde")</f>
        <v>@MFalcalde</v>
      </c>
      <c r="C1518" s="8" t="s">
        <v>6097</v>
      </c>
      <c r="D1518" s="9" t="s">
        <v>6098</v>
      </c>
      <c r="E1518" s="10" t="str">
        <f>HYPERLINK("https://twitter.com/MFalcalde/status/1070350720900186112","1070350720900186112")</f>
        <v>1070350720900186112</v>
      </c>
      <c r="F1518" s="11"/>
      <c r="G1518" s="13" t="s">
        <v>6099</v>
      </c>
      <c r="H1518" s="11"/>
      <c r="I1518" s="14">
        <v>4</v>
      </c>
      <c r="J1518" s="14">
        <v>3</v>
      </c>
      <c r="K1518" s="15" t="str">
        <f>HYPERLINK("http://twitter.com/download/iphone","Twitter for iPhone")</f>
        <v>Twitter for iPhone</v>
      </c>
      <c r="L1518" s="14">
        <v>1801</v>
      </c>
      <c r="M1518" s="14">
        <v>1556</v>
      </c>
      <c r="N1518" s="14">
        <v>34</v>
      </c>
      <c r="O1518" s="16"/>
      <c r="P1518" s="6">
        <v>41952.798807870371</v>
      </c>
      <c r="Q1518" s="12" t="s">
        <v>6100</v>
      </c>
      <c r="R1518" s="17" t="s">
        <v>6101</v>
      </c>
      <c r="S1518" s="13" t="s">
        <v>6102</v>
      </c>
      <c r="T1518" s="11"/>
      <c r="U1518" s="10" t="str">
        <f>HYPERLINK("https://pbs.twimg.com/profile_images/1047482284683743232/GntKlWBD.jpg","View")</f>
        <v>View</v>
      </c>
    </row>
    <row r="1519" spans="1:21" ht="51">
      <c r="A1519" s="6">
        <v>43439.717210648145</v>
      </c>
      <c r="B1519" s="7" t="str">
        <f>HYPERLINK("https://twitter.com/PlayGrounder","@PlayGrounder")</f>
        <v>@PlayGrounder</v>
      </c>
      <c r="C1519" s="8" t="s">
        <v>6105</v>
      </c>
      <c r="D1519" s="9" t="s">
        <v>6106</v>
      </c>
      <c r="E1519" s="10" t="str">
        <f>HYPERLINK("https://twitter.com/PlayGrounder/status/1070350278938017792","1070350278938017792")</f>
        <v>1070350278938017792</v>
      </c>
      <c r="F1519" s="13" t="s">
        <v>1262</v>
      </c>
      <c r="G1519" s="11"/>
      <c r="H1519" s="11"/>
      <c r="I1519" s="14">
        <v>3</v>
      </c>
      <c r="J1519" s="14">
        <v>1</v>
      </c>
      <c r="K1519" s="15" t="str">
        <f>HYPERLINK("http://twitter.com","Twitter Web Client")</f>
        <v>Twitter Web Client</v>
      </c>
      <c r="L1519" s="14">
        <v>109075</v>
      </c>
      <c r="M1519" s="14">
        <v>2324</v>
      </c>
      <c r="N1519" s="14">
        <v>1718</v>
      </c>
      <c r="O1519" s="16"/>
      <c r="P1519" s="6">
        <v>39581.387245370366</v>
      </c>
      <c r="Q1519" s="12" t="s">
        <v>6110</v>
      </c>
      <c r="R1519" s="17" t="s">
        <v>6111</v>
      </c>
      <c r="S1519" s="13" t="s">
        <v>6112</v>
      </c>
      <c r="T1519" s="11"/>
      <c r="U1519" s="10" t="str">
        <f>HYPERLINK("https://pbs.twimg.com/profile_images/972019561645117440/AWFhyafa.jpg","View")</f>
        <v>View</v>
      </c>
    </row>
    <row r="1520" spans="1:21" ht="20.399999999999999">
      <c r="A1520" s="6">
        <v>43439.716134259259</v>
      </c>
      <c r="B1520" s="7" t="str">
        <f>HYPERLINK("https://twitter.com/robertrefort3","@robertrefort3")</f>
        <v>@robertrefort3</v>
      </c>
      <c r="C1520" s="8" t="s">
        <v>6113</v>
      </c>
      <c r="D1520" s="9" t="s">
        <v>6115</v>
      </c>
      <c r="E1520" s="10" t="str">
        <f>HYPERLINK("https://twitter.com/robertrefort3/status/1070349890176327680","1070349890176327680")</f>
        <v>1070349890176327680</v>
      </c>
      <c r="F1520" s="11"/>
      <c r="G1520" s="11"/>
      <c r="H1520" s="11"/>
      <c r="I1520" s="14">
        <v>0</v>
      </c>
      <c r="J1520" s="14">
        <v>0</v>
      </c>
      <c r="K1520" s="15" t="str">
        <f>HYPERLINK("http://twitter.com/download/android","Twitter for Android")</f>
        <v>Twitter for Android</v>
      </c>
      <c r="L1520" s="14">
        <v>61</v>
      </c>
      <c r="M1520" s="14">
        <v>135</v>
      </c>
      <c r="N1520" s="14">
        <v>0</v>
      </c>
      <c r="O1520" s="16"/>
      <c r="P1520" s="6">
        <v>42765.542245370365</v>
      </c>
      <c r="Q1520" s="11"/>
      <c r="R1520" s="18"/>
      <c r="S1520" s="11"/>
      <c r="T1520" s="11"/>
      <c r="U1520" s="19" t="s">
        <v>629</v>
      </c>
    </row>
    <row r="1521" spans="1:21" ht="51">
      <c r="A1521" s="6">
        <v>43439.715740740736</v>
      </c>
      <c r="B1521" s="7" t="str">
        <f>HYPERLINK("https://twitter.com/MaxJovenGay","@MaxJovenGay")</f>
        <v>@MaxJovenGay</v>
      </c>
      <c r="C1521" s="8" t="s">
        <v>6117</v>
      </c>
      <c r="D1521" s="9" t="s">
        <v>6118</v>
      </c>
      <c r="E1521" s="10" t="str">
        <f>HYPERLINK("https://twitter.com/MaxJovenGay/status/1070349748283019266","1070349748283019266")</f>
        <v>1070349748283019266</v>
      </c>
      <c r="F1521" s="13" t="s">
        <v>6119</v>
      </c>
      <c r="G1521" s="13" t="s">
        <v>6120</v>
      </c>
      <c r="H1521" s="11"/>
      <c r="I1521" s="14">
        <v>4</v>
      </c>
      <c r="J1521" s="14">
        <v>2</v>
      </c>
      <c r="K1521" s="15" t="str">
        <f>HYPERLINK("http://twitter.com","Twitter Web Client")</f>
        <v>Twitter Web Client</v>
      </c>
      <c r="L1521" s="14">
        <v>2759</v>
      </c>
      <c r="M1521" s="14">
        <v>2090</v>
      </c>
      <c r="N1521" s="14">
        <v>50</v>
      </c>
      <c r="O1521" s="16"/>
      <c r="P1521" s="6">
        <v>42333.919942129629</v>
      </c>
      <c r="Q1521" s="12" t="s">
        <v>6121</v>
      </c>
      <c r="R1521" s="17" t="s">
        <v>6123</v>
      </c>
      <c r="S1521" s="13" t="s">
        <v>6124</v>
      </c>
      <c r="T1521" s="11"/>
      <c r="U1521" s="10" t="str">
        <f>HYPERLINK("https://pbs.twimg.com/profile_images/1002519881584185345/qemAcfXh.jpg","View")</f>
        <v>View</v>
      </c>
    </row>
    <row r="1522" spans="1:21" ht="40.799999999999997">
      <c r="A1522" s="6">
        <v>43439.713900462964</v>
      </c>
      <c r="B1522" s="7" t="str">
        <f>HYPERLINK("https://twitter.com/abcdesevilla","@abcdesevilla")</f>
        <v>@abcdesevilla</v>
      </c>
      <c r="C1522" s="8" t="s">
        <v>6126</v>
      </c>
      <c r="D1522" s="9" t="s">
        <v>6127</v>
      </c>
      <c r="E1522" s="10" t="str">
        <f>HYPERLINK("https://twitter.com/abcdesevilla/status/1070349080830885889","1070349080830885889")</f>
        <v>1070349080830885889</v>
      </c>
      <c r="F1522" s="13" t="s">
        <v>6128</v>
      </c>
      <c r="G1522" s="11"/>
      <c r="H1522" s="11"/>
      <c r="I1522" s="14">
        <v>1</v>
      </c>
      <c r="J1522" s="14">
        <v>2</v>
      </c>
      <c r="K1522" s="15" t="str">
        <f>HYPERLINK("https://www.hootsuite.com","Hootsuite Inc.")</f>
        <v>Hootsuite Inc.</v>
      </c>
      <c r="L1522" s="14">
        <v>184531</v>
      </c>
      <c r="M1522" s="14">
        <v>995</v>
      </c>
      <c r="N1522" s="14">
        <v>1587</v>
      </c>
      <c r="O1522" s="19" t="s">
        <v>42</v>
      </c>
      <c r="P1522" s="6">
        <v>39959.449374999997</v>
      </c>
      <c r="Q1522" s="12" t="s">
        <v>477</v>
      </c>
      <c r="R1522" s="17" t="s">
        <v>6129</v>
      </c>
      <c r="S1522" s="13" t="s">
        <v>6130</v>
      </c>
      <c r="T1522" s="11"/>
      <c r="U1522" s="10" t="str">
        <f>HYPERLINK("https://pbs.twimg.com/profile_images/909714989556092928/61PsKYSd.jpg","View")</f>
        <v>View</v>
      </c>
    </row>
    <row r="1523" spans="1:21" ht="20.399999999999999">
      <c r="A1523" s="6">
        <v>43439.712256944447</v>
      </c>
      <c r="B1523" s="7" t="str">
        <f>HYPERLINK("https://twitter.com/Belda1954","@Belda1954")</f>
        <v>@Belda1954</v>
      </c>
      <c r="C1523" s="8" t="s">
        <v>5493</v>
      </c>
      <c r="D1523" s="9" t="s">
        <v>4269</v>
      </c>
      <c r="E1523" s="10" t="str">
        <f>HYPERLINK("https://twitter.com/Belda1954/status/1070348483599757315","1070348483599757315")</f>
        <v>1070348483599757315</v>
      </c>
      <c r="F1523" s="13" t="s">
        <v>4270</v>
      </c>
      <c r="G1523" s="11"/>
      <c r="H1523" s="11"/>
      <c r="I1523" s="14">
        <v>0</v>
      </c>
      <c r="J1523" s="14">
        <v>0</v>
      </c>
      <c r="K1523" s="15" t="str">
        <f>HYPERLINK("http://twitter.com","Twitter Web Client")</f>
        <v>Twitter Web Client</v>
      </c>
      <c r="L1523" s="14">
        <v>340</v>
      </c>
      <c r="M1523" s="14">
        <v>1035</v>
      </c>
      <c r="N1523" s="14">
        <v>7</v>
      </c>
      <c r="O1523" s="16"/>
      <c r="P1523" s="6">
        <v>40445.780740740738</v>
      </c>
      <c r="Q1523" s="12" t="s">
        <v>137</v>
      </c>
      <c r="R1523" s="17" t="s">
        <v>5495</v>
      </c>
      <c r="S1523" s="11"/>
      <c r="T1523" s="11"/>
      <c r="U1523" s="10" t="str">
        <f>HYPERLINK("https://pbs.twimg.com/profile_images/760042410126737408/0vT_CbAN.jpg","View")</f>
        <v>View</v>
      </c>
    </row>
    <row r="1524" spans="1:21" ht="40.799999999999997">
      <c r="A1524" s="6">
        <v>43439.712233796294</v>
      </c>
      <c r="B1524" s="7" t="str">
        <f>HYPERLINK("https://twitter.com/JorgeSMiguel","@JorgeSMiguel")</f>
        <v>@JorgeSMiguel</v>
      </c>
      <c r="C1524" s="8" t="s">
        <v>5070</v>
      </c>
      <c r="D1524" s="9" t="s">
        <v>5071</v>
      </c>
      <c r="E1524" s="10" t="str">
        <f>HYPERLINK("https://twitter.com/JorgeSMiguel/status/1070348475756363776","1070348475756363776")</f>
        <v>1070348475756363776</v>
      </c>
      <c r="F1524" s="13" t="s">
        <v>2778</v>
      </c>
      <c r="G1524" s="13" t="s">
        <v>2779</v>
      </c>
      <c r="H1524" s="11"/>
      <c r="I1524" s="14">
        <v>16</v>
      </c>
      <c r="J1524" s="14">
        <v>31</v>
      </c>
      <c r="K1524" s="15" t="str">
        <f>HYPERLINK("https://about.twitter.com/products/tweetdeck","TweetDeck")</f>
        <v>TweetDeck</v>
      </c>
      <c r="L1524" s="14">
        <v>4938</v>
      </c>
      <c r="M1524" s="14">
        <v>1050</v>
      </c>
      <c r="N1524" s="14">
        <v>203</v>
      </c>
      <c r="O1524" s="16"/>
      <c r="P1524" s="6">
        <v>40348.233900462961</v>
      </c>
      <c r="Q1524" s="12" t="s">
        <v>5072</v>
      </c>
      <c r="R1524" s="17" t="s">
        <v>5073</v>
      </c>
      <c r="S1524" s="13" t="s">
        <v>5074</v>
      </c>
      <c r="T1524" s="11"/>
      <c r="U1524" s="10" t="str">
        <f>HYPERLINK("https://pbs.twimg.com/profile_images/977272406980157440/ySvJp9Ui.jpg","View")</f>
        <v>View</v>
      </c>
    </row>
    <row r="1525" spans="1:21" ht="20.399999999999999">
      <c r="A1525" s="6">
        <v>43439.711724537032</v>
      </c>
      <c r="B1525" s="7" t="str">
        <f>HYPERLINK("https://twitter.com/PLSDE","@PLSDE")</f>
        <v>@PLSDE</v>
      </c>
      <c r="C1525" s="8" t="s">
        <v>6134</v>
      </c>
      <c r="D1525" s="9" t="s">
        <v>4269</v>
      </c>
      <c r="E1525" s="10" t="str">
        <f>HYPERLINK("https://twitter.com/PLSDE/status/1070348293560037377","1070348293560037377")</f>
        <v>1070348293560037377</v>
      </c>
      <c r="F1525" s="13" t="s">
        <v>4270</v>
      </c>
      <c r="G1525" s="11"/>
      <c r="H1525" s="11"/>
      <c r="I1525" s="14">
        <v>1</v>
      </c>
      <c r="J1525" s="14">
        <v>1</v>
      </c>
      <c r="K1525" s="15" t="str">
        <f t="shared" ref="K1525:K1526" si="307">HYPERLINK("http://twitter.com","Twitter Web Client")</f>
        <v>Twitter Web Client</v>
      </c>
      <c r="L1525" s="14">
        <v>5508</v>
      </c>
      <c r="M1525" s="14">
        <v>5485</v>
      </c>
      <c r="N1525" s="14">
        <v>245</v>
      </c>
      <c r="O1525" s="16"/>
      <c r="P1525" s="6">
        <v>40923.741122685184</v>
      </c>
      <c r="Q1525" s="12" t="s">
        <v>137</v>
      </c>
      <c r="R1525" s="17" t="s">
        <v>6136</v>
      </c>
      <c r="S1525" s="13" t="s">
        <v>6137</v>
      </c>
      <c r="T1525" s="11"/>
      <c r="U1525" s="10" t="str">
        <f>HYPERLINK("https://pbs.twimg.com/profile_images/751011986188664833/Lfze0a2X.jpg","View")</f>
        <v>View</v>
      </c>
    </row>
    <row r="1526" spans="1:21" ht="40.799999999999997">
      <c r="A1526" s="6">
        <v>43439.710543981477</v>
      </c>
      <c r="B1526" s="7" t="str">
        <f>HYPERLINK("https://twitter.com/sonia11a","@sonia11a")</f>
        <v>@sonia11a</v>
      </c>
      <c r="C1526" s="8" t="s">
        <v>5075</v>
      </c>
      <c r="D1526" s="9" t="s">
        <v>5076</v>
      </c>
      <c r="E1526" s="10" t="str">
        <f>HYPERLINK("https://twitter.com/sonia11a/status/1070347861903183872","1070347861903183872")</f>
        <v>1070347861903183872</v>
      </c>
      <c r="F1526" s="13" t="s">
        <v>2778</v>
      </c>
      <c r="G1526" s="13" t="s">
        <v>2779</v>
      </c>
      <c r="H1526" s="11"/>
      <c r="I1526" s="14">
        <v>1</v>
      </c>
      <c r="J1526" s="14">
        <v>0</v>
      </c>
      <c r="K1526" s="15" t="str">
        <f t="shared" si="307"/>
        <v>Twitter Web Client</v>
      </c>
      <c r="L1526" s="14">
        <v>591</v>
      </c>
      <c r="M1526" s="14">
        <v>964</v>
      </c>
      <c r="N1526" s="14">
        <v>21</v>
      </c>
      <c r="O1526" s="16"/>
      <c r="P1526" s="6">
        <v>40620.771087962959</v>
      </c>
      <c r="Q1526" s="11"/>
      <c r="R1526" s="17" t="s">
        <v>5077</v>
      </c>
      <c r="S1526" s="11"/>
      <c r="T1526" s="11"/>
      <c r="U1526" s="10" t="str">
        <f>HYPERLINK("https://pbs.twimg.com/profile_images/972165617540386817/ALeUjUGS.jpg","View")</f>
        <v>View</v>
      </c>
    </row>
    <row r="1527" spans="1:21" ht="51">
      <c r="A1527" s="6">
        <v>43439.709722222222</v>
      </c>
      <c r="B1527" s="7" t="str">
        <f>HYPERLINK("https://twitter.com/bitMomentum","@bitMomentum")</f>
        <v>@bitMomentum</v>
      </c>
      <c r="C1527" s="8" t="s">
        <v>1889</v>
      </c>
      <c r="D1527" s="9" t="s">
        <v>5079</v>
      </c>
      <c r="E1527" s="10" t="str">
        <f>HYPERLINK("https://twitter.com/bitMomentum/status/1070347564564799489","1070347564564799489")</f>
        <v>1070347564564799489</v>
      </c>
      <c r="F1527" s="11"/>
      <c r="G1527" s="11"/>
      <c r="H1527" s="11"/>
      <c r="I1527" s="14">
        <v>0</v>
      </c>
      <c r="J1527" s="14">
        <v>0</v>
      </c>
      <c r="K1527" s="15" t="str">
        <f>HYPERLINK("http://www.bitmomentum.com","bitMomentum Bot")</f>
        <v>bitMomentum Bot</v>
      </c>
      <c r="L1527" s="14">
        <v>10254</v>
      </c>
      <c r="M1527" s="14">
        <v>1059</v>
      </c>
      <c r="N1527" s="14">
        <v>263</v>
      </c>
      <c r="O1527" s="16"/>
      <c r="P1527" s="6">
        <v>41608.667511574073</v>
      </c>
      <c r="Q1527" s="11"/>
      <c r="R1527" s="17" t="s">
        <v>1897</v>
      </c>
      <c r="S1527" s="13" t="s">
        <v>1898</v>
      </c>
      <c r="T1527" s="11"/>
      <c r="U1527" s="10" t="str">
        <f>HYPERLINK("https://pbs.twimg.com/profile_images/378800000862185241/20ij2H3u.png","View")</f>
        <v>View</v>
      </c>
    </row>
    <row r="1528" spans="1:21" ht="40.799999999999997">
      <c r="A1528" s="6">
        <v>43439.709155092598</v>
      </c>
      <c r="B1528" s="7" t="str">
        <f>HYPERLINK("https://twitter.com/ballesternebot","@ballesternebot")</f>
        <v>@ballesternebot</v>
      </c>
      <c r="C1528" s="8" t="s">
        <v>6145</v>
      </c>
      <c r="D1528" s="9" t="s">
        <v>2347</v>
      </c>
      <c r="E1528" s="10" t="str">
        <f>HYPERLINK("https://twitter.com/ballesternebot/status/1070347359173992448","1070347359173992448")</f>
        <v>1070347359173992448</v>
      </c>
      <c r="F1528" s="13" t="s">
        <v>2349</v>
      </c>
      <c r="G1528" s="11"/>
      <c r="H1528" s="11"/>
      <c r="I1528" s="14">
        <v>2</v>
      </c>
      <c r="J1528" s="14">
        <v>3</v>
      </c>
      <c r="K1528" s="15" t="str">
        <f>HYPERLINK("http://twitter.com","Twitter Web Client")</f>
        <v>Twitter Web Client</v>
      </c>
      <c r="L1528" s="14">
        <v>989</v>
      </c>
      <c r="M1528" s="14">
        <v>374</v>
      </c>
      <c r="N1528" s="14">
        <v>16</v>
      </c>
      <c r="O1528" s="16"/>
      <c r="P1528" s="6">
        <v>42133.673483796301</v>
      </c>
      <c r="Q1528" s="12" t="s">
        <v>6146</v>
      </c>
      <c r="R1528" s="17" t="s">
        <v>6147</v>
      </c>
      <c r="S1528" s="11"/>
      <c r="T1528" s="11"/>
      <c r="U1528" s="10" t="str">
        <f>HYPERLINK("https://pbs.twimg.com/profile_images/625633248140480513/Q8v03lIb.jpg","View")</f>
        <v>View</v>
      </c>
    </row>
    <row r="1529" spans="1:21" ht="51">
      <c r="A1529" s="6">
        <v>43439.709027777775</v>
      </c>
      <c r="B1529" s="7" t="str">
        <f>HYPERLINK("https://twitter.com/bitMomentum","@bitMomentum")</f>
        <v>@bitMomentum</v>
      </c>
      <c r="C1529" s="8" t="s">
        <v>1889</v>
      </c>
      <c r="D1529" s="9" t="s">
        <v>5080</v>
      </c>
      <c r="E1529" s="10" t="str">
        <f>HYPERLINK("https://twitter.com/bitMomentum/status/1070347313145622528","1070347313145622528")</f>
        <v>1070347313145622528</v>
      </c>
      <c r="F1529" s="11"/>
      <c r="G1529" s="11"/>
      <c r="H1529" s="11"/>
      <c r="I1529" s="14">
        <v>0</v>
      </c>
      <c r="J1529" s="14">
        <v>0</v>
      </c>
      <c r="K1529" s="15" t="str">
        <f>HYPERLINK("http://www.bitmomentum.com","bitMomentum Bot")</f>
        <v>bitMomentum Bot</v>
      </c>
      <c r="L1529" s="14">
        <v>10254</v>
      </c>
      <c r="M1529" s="14">
        <v>1059</v>
      </c>
      <c r="N1529" s="14">
        <v>263</v>
      </c>
      <c r="O1529" s="16"/>
      <c r="P1529" s="6">
        <v>41608.667511574073</v>
      </c>
      <c r="Q1529" s="11"/>
      <c r="R1529" s="17" t="s">
        <v>1897</v>
      </c>
      <c r="S1529" s="13" t="s">
        <v>1898</v>
      </c>
      <c r="T1529" s="11"/>
      <c r="U1529" s="10" t="str">
        <f>HYPERLINK("https://pbs.twimg.com/profile_images/378800000862185241/20ij2H3u.png","View")</f>
        <v>View</v>
      </c>
    </row>
    <row r="1530" spans="1:21" ht="40.799999999999997">
      <c r="A1530" s="6">
        <v>43439.70893518519</v>
      </c>
      <c r="B1530" s="7" t="str">
        <f>HYPERLINK("https://twitter.com/encantats","@encantats")</f>
        <v>@encantats</v>
      </c>
      <c r="C1530" s="8" t="s">
        <v>6152</v>
      </c>
      <c r="D1530" s="9" t="s">
        <v>6153</v>
      </c>
      <c r="E1530" s="10" t="str">
        <f>HYPERLINK("https://twitter.com/encantats/status/1070347282560749569","1070347282560749569")</f>
        <v>1070347282560749569</v>
      </c>
      <c r="F1530" s="13" t="s">
        <v>6154</v>
      </c>
      <c r="G1530" s="11"/>
      <c r="H1530" s="11"/>
      <c r="I1530" s="14">
        <v>0</v>
      </c>
      <c r="J1530" s="14">
        <v>0</v>
      </c>
      <c r="K1530" s="15" t="str">
        <f>HYPERLINK("http://twitter.com","Twitter Web Client")</f>
        <v>Twitter Web Client</v>
      </c>
      <c r="L1530" s="14">
        <v>1187</v>
      </c>
      <c r="M1530" s="14">
        <v>1974</v>
      </c>
      <c r="N1530" s="14">
        <v>49</v>
      </c>
      <c r="O1530" s="16"/>
      <c r="P1530" s="6">
        <v>40310.988159722227</v>
      </c>
      <c r="Q1530" s="11"/>
      <c r="R1530" s="17" t="s">
        <v>6157</v>
      </c>
      <c r="S1530" s="11"/>
      <c r="T1530" s="11"/>
      <c r="U1530" s="10" t="str">
        <f>HYPERLINK("https://pbs.twimg.com/profile_images/1049281242510884865/Au6q9VOy.jpg","View")</f>
        <v>View</v>
      </c>
    </row>
    <row r="1531" spans="1:21" ht="40.799999999999997">
      <c r="A1531" s="6">
        <v>43439.707037037035</v>
      </c>
      <c r="B1531" s="7" t="str">
        <f>HYPERLINK("https://twitter.com/elnacionalcat_e","@elnacionalcat_e")</f>
        <v>@elnacionalcat_e</v>
      </c>
      <c r="C1531" s="8" t="s">
        <v>4541</v>
      </c>
      <c r="D1531" s="9" t="s">
        <v>6158</v>
      </c>
      <c r="E1531" s="10" t="str">
        <f>HYPERLINK("https://twitter.com/elnacionalcat_e/status/1070346592534781952","1070346592534781952")</f>
        <v>1070346592534781952</v>
      </c>
      <c r="F1531" s="13" t="s">
        <v>5732</v>
      </c>
      <c r="G1531" s="11"/>
      <c r="H1531" s="11"/>
      <c r="I1531" s="14">
        <v>1</v>
      </c>
      <c r="J1531" s="14">
        <v>0</v>
      </c>
      <c r="K1531" s="15" t="str">
        <f>HYPERLINK("http://www.wearebab.com","Comitium5 BAB")</f>
        <v>Comitium5 BAB</v>
      </c>
      <c r="L1531" s="14">
        <v>5553</v>
      </c>
      <c r="M1531" s="14">
        <v>355</v>
      </c>
      <c r="N1531" s="14">
        <v>169</v>
      </c>
      <c r="O1531" s="16"/>
      <c r="P1531" s="6">
        <v>42247.840567129635</v>
      </c>
      <c r="Q1531" s="12" t="s">
        <v>3665</v>
      </c>
      <c r="R1531" s="17" t="s">
        <v>4545</v>
      </c>
      <c r="S1531" s="13" t="s">
        <v>4546</v>
      </c>
      <c r="T1531" s="11"/>
      <c r="U1531" s="10" t="str">
        <f>HYPERLINK("https://pbs.twimg.com/profile_images/646298514385960960/VEutSP7L.png","View")</f>
        <v>View</v>
      </c>
    </row>
    <row r="1532" spans="1:21" ht="91.8">
      <c r="A1532" s="6">
        <v>43439.706689814819</v>
      </c>
      <c r="B1532" s="7" t="str">
        <f>HYPERLINK("https://twitter.com/MDolores_Garcia","@MDolores_Garcia")</f>
        <v>@MDolores_Garcia</v>
      </c>
      <c r="C1532" s="8" t="s">
        <v>5087</v>
      </c>
      <c r="D1532" s="9" t="s">
        <v>5088</v>
      </c>
      <c r="E1532" s="10" t="str">
        <f>HYPERLINK("https://twitter.com/MDolores_Garcia/status/1070346468622565378","1070346468622565378")</f>
        <v>1070346468622565378</v>
      </c>
      <c r="F1532" s="12" t="s">
        <v>5091</v>
      </c>
      <c r="G1532" s="11"/>
      <c r="H1532" s="11"/>
      <c r="I1532" s="14">
        <v>2</v>
      </c>
      <c r="J1532" s="14">
        <v>7</v>
      </c>
      <c r="K1532" s="15" t="str">
        <f t="shared" ref="K1532:K1533" si="308">HYPERLINK("http://twitter.com/download/android","Twitter for Android")</f>
        <v>Twitter for Android</v>
      </c>
      <c r="L1532" s="14">
        <v>690</v>
      </c>
      <c r="M1532" s="14">
        <v>396</v>
      </c>
      <c r="N1532" s="14">
        <v>4</v>
      </c>
      <c r="O1532" s="16"/>
      <c r="P1532" s="6">
        <v>43069.86072916667</v>
      </c>
      <c r="Q1532" s="12" t="s">
        <v>1803</v>
      </c>
      <c r="R1532" s="17" t="s">
        <v>5092</v>
      </c>
      <c r="S1532" s="13" t="s">
        <v>5093</v>
      </c>
      <c r="T1532" s="11"/>
      <c r="U1532" s="10" t="str">
        <f>HYPERLINK("https://pbs.twimg.com/profile_images/1068612954726240258/tbLSMCWh.jpg","View")</f>
        <v>View</v>
      </c>
    </row>
    <row r="1533" spans="1:21" ht="61.2">
      <c r="A1533" s="6">
        <v>43439.705937499995</v>
      </c>
      <c r="B1533" s="7" t="str">
        <f>HYPERLINK("https://twitter.com/0d5909f1f9a4455","@0d5909f1f9a4455")</f>
        <v>@0d5909f1f9a4455</v>
      </c>
      <c r="C1533" s="8" t="s">
        <v>5094</v>
      </c>
      <c r="D1533" s="9" t="s">
        <v>5095</v>
      </c>
      <c r="E1533" s="10" t="str">
        <f>HYPERLINK("https://twitter.com/0d5909f1f9a4455/status/1070346193635553282","1070346193635553282")</f>
        <v>1070346193635553282</v>
      </c>
      <c r="F1533" s="12" t="s">
        <v>5096</v>
      </c>
      <c r="G1533" s="11"/>
      <c r="H1533" s="11"/>
      <c r="I1533" s="14">
        <v>0</v>
      </c>
      <c r="J1533" s="14">
        <v>0</v>
      </c>
      <c r="K1533" s="15" t="str">
        <f t="shared" si="308"/>
        <v>Twitter for Android</v>
      </c>
      <c r="L1533" s="14">
        <v>641</v>
      </c>
      <c r="M1533" s="14">
        <v>323</v>
      </c>
      <c r="N1533" s="14">
        <v>3</v>
      </c>
      <c r="O1533" s="16"/>
      <c r="P1533" s="6">
        <v>42078.878495370373</v>
      </c>
      <c r="Q1533" s="12" t="s">
        <v>5097</v>
      </c>
      <c r="R1533" s="17" t="s">
        <v>5098</v>
      </c>
      <c r="S1533" s="11"/>
      <c r="T1533" s="11"/>
      <c r="U1533" s="10" t="str">
        <f>HYPERLINK("https://pbs.twimg.com/profile_images/612023535972827136/DpuMQqXl.jpg","View")</f>
        <v>View</v>
      </c>
    </row>
    <row r="1534" spans="1:21" ht="40.799999999999997">
      <c r="A1534" s="6">
        <v>43439.70590277778</v>
      </c>
      <c r="B1534" s="7" t="str">
        <f>HYPERLINK("https://twitter.com/Canal_Z_","@Canal_Z_")</f>
        <v>@Canal_Z_</v>
      </c>
      <c r="C1534" s="8" t="s">
        <v>6164</v>
      </c>
      <c r="D1534" s="9" t="s">
        <v>6165</v>
      </c>
      <c r="E1534" s="10" t="str">
        <f>HYPERLINK("https://twitter.com/Canal_Z_/status/1070346180327026691","1070346180327026691")</f>
        <v>1070346180327026691</v>
      </c>
      <c r="F1534" s="13" t="s">
        <v>6166</v>
      </c>
      <c r="G1534" s="13" t="s">
        <v>6167</v>
      </c>
      <c r="H1534" s="11"/>
      <c r="I1534" s="14">
        <v>0</v>
      </c>
      <c r="J1534" s="14">
        <v>0</v>
      </c>
      <c r="K1534" s="15" t="str">
        <f t="shared" ref="K1534:K1535" si="309">HYPERLINK("http://twitter.com","Twitter Web Client")</f>
        <v>Twitter Web Client</v>
      </c>
      <c r="L1534" s="14">
        <v>2622</v>
      </c>
      <c r="M1534" s="14">
        <v>4992</v>
      </c>
      <c r="N1534" s="14">
        <v>10</v>
      </c>
      <c r="O1534" s="16"/>
      <c r="P1534" s="6">
        <v>41462.275254629625</v>
      </c>
      <c r="Q1534" s="12" t="s">
        <v>137</v>
      </c>
      <c r="R1534" s="17" t="s">
        <v>6170</v>
      </c>
      <c r="S1534" s="11"/>
      <c r="T1534" s="11"/>
      <c r="U1534" s="10" t="str">
        <f>HYPERLINK("https://pbs.twimg.com/profile_images/1008407123242422272/aENpWjy6.jpg","View")</f>
        <v>View</v>
      </c>
    </row>
    <row r="1535" spans="1:21" ht="51">
      <c r="A1535" s="6">
        <v>43439.702372685184</v>
      </c>
      <c r="B1535" s="7" t="str">
        <f>HYPERLINK("https://twitter.com/anagallardocs","@anagallardocs")</f>
        <v>@anagallardocs</v>
      </c>
      <c r="C1535" s="8" t="s">
        <v>5099</v>
      </c>
      <c r="D1535" s="9" t="s">
        <v>5100</v>
      </c>
      <c r="E1535" s="10" t="str">
        <f>HYPERLINK("https://twitter.com/anagallardocs/status/1070344901513093121","1070344901513093121")</f>
        <v>1070344901513093121</v>
      </c>
      <c r="F1535" s="11"/>
      <c r="G1535" s="13" t="s">
        <v>5101</v>
      </c>
      <c r="H1535" s="11"/>
      <c r="I1535" s="14">
        <v>0</v>
      </c>
      <c r="J1535" s="14">
        <v>0</v>
      </c>
      <c r="K1535" s="15" t="str">
        <f t="shared" si="309"/>
        <v>Twitter Web Client</v>
      </c>
      <c r="L1535" s="14">
        <v>204</v>
      </c>
      <c r="M1535" s="14">
        <v>457</v>
      </c>
      <c r="N1535" s="14">
        <v>0</v>
      </c>
      <c r="O1535" s="16"/>
      <c r="P1535" s="6">
        <v>43028.758055555554</v>
      </c>
      <c r="Q1535" s="12" t="s">
        <v>5102</v>
      </c>
      <c r="R1535" s="17" t="s">
        <v>5103</v>
      </c>
      <c r="S1535" s="13" t="s">
        <v>5104</v>
      </c>
      <c r="T1535" s="11"/>
      <c r="U1535" s="10" t="str">
        <f>HYPERLINK("https://pbs.twimg.com/profile_images/996498944535482368/EJkAS7lz.jpg","View")</f>
        <v>View</v>
      </c>
    </row>
    <row r="1536" spans="1:21" ht="30.6">
      <c r="A1536" s="6">
        <v>43439.699456018519</v>
      </c>
      <c r="B1536" s="7" t="str">
        <f>HYPERLINK("https://twitter.com/Azana_cabreado","@Azana_cabreado")</f>
        <v>@Azana_cabreado</v>
      </c>
      <c r="C1536" s="8" t="s">
        <v>6174</v>
      </c>
      <c r="D1536" s="9" t="s">
        <v>6175</v>
      </c>
      <c r="E1536" s="10" t="str">
        <f>HYPERLINK("https://twitter.com/Azana_cabreado/status/1070343845244780546","1070343845244780546")</f>
        <v>1070343845244780546</v>
      </c>
      <c r="F1536" s="13" t="s">
        <v>6176</v>
      </c>
      <c r="G1536" s="11"/>
      <c r="H1536" s="11"/>
      <c r="I1536" s="14">
        <v>0</v>
      </c>
      <c r="J1536" s="14">
        <v>4</v>
      </c>
      <c r="K1536" s="15" t="str">
        <f t="shared" ref="K1536:K1538" si="310">HYPERLINK("http://twitter.com/download/android","Twitter for Android")</f>
        <v>Twitter for Android</v>
      </c>
      <c r="L1536" s="14">
        <v>118</v>
      </c>
      <c r="M1536" s="14">
        <v>34</v>
      </c>
      <c r="N1536" s="14">
        <v>1</v>
      </c>
      <c r="O1536" s="16"/>
      <c r="P1536" s="6">
        <v>43410.550520833334</v>
      </c>
      <c r="Q1536" s="12" t="s">
        <v>137</v>
      </c>
      <c r="R1536" s="17" t="s">
        <v>6178</v>
      </c>
      <c r="S1536" s="11"/>
      <c r="T1536" s="11"/>
      <c r="U1536" s="10" t="str">
        <f>HYPERLINK("https://pbs.twimg.com/profile_images/1063531641845571584/H-LuLhoY.jpg","View")</f>
        <v>View</v>
      </c>
    </row>
    <row r="1537" spans="1:21" ht="61.2">
      <c r="A1537" s="6">
        <v>43439.698993055557</v>
      </c>
      <c r="B1537" s="7" t="str">
        <f>HYPERLINK("https://twitter.com/agitprops","@agitprops")</f>
        <v>@agitprops</v>
      </c>
      <c r="C1537" s="8" t="s">
        <v>5105</v>
      </c>
      <c r="D1537" s="9" t="s">
        <v>5106</v>
      </c>
      <c r="E1537" s="10" t="str">
        <f>HYPERLINK("https://twitter.com/agitprops/status/1070343679255158786","1070343679255158786")</f>
        <v>1070343679255158786</v>
      </c>
      <c r="F1537" s="12" t="s">
        <v>5107</v>
      </c>
      <c r="G1537" s="11"/>
      <c r="H1537" s="11"/>
      <c r="I1537" s="14">
        <v>0</v>
      </c>
      <c r="J1537" s="14">
        <v>0</v>
      </c>
      <c r="K1537" s="15" t="str">
        <f t="shared" si="310"/>
        <v>Twitter for Android</v>
      </c>
      <c r="L1537" s="14">
        <v>473</v>
      </c>
      <c r="M1537" s="14">
        <v>1197</v>
      </c>
      <c r="N1537" s="14">
        <v>27</v>
      </c>
      <c r="O1537" s="16"/>
      <c r="P1537" s="6">
        <v>40585.544074074074</v>
      </c>
      <c r="Q1537" s="12" t="s">
        <v>137</v>
      </c>
      <c r="R1537" s="17" t="s">
        <v>5110</v>
      </c>
      <c r="S1537" s="13" t="s">
        <v>5111</v>
      </c>
      <c r="T1537" s="11"/>
      <c r="U1537" s="10" t="str">
        <f>HYPERLINK("https://pbs.twimg.com/profile_images/881097159923421190/Vjm1W0t3.jpg","View")</f>
        <v>View</v>
      </c>
    </row>
    <row r="1538" spans="1:21" ht="30.6">
      <c r="A1538" s="6">
        <v>43439.698796296296</v>
      </c>
      <c r="B1538" s="7" t="str">
        <f>HYPERLINK("https://twitter.com/BenderOfuscado","@BenderOfuscado")</f>
        <v>@BenderOfuscado</v>
      </c>
      <c r="C1538" s="8" t="s">
        <v>6183</v>
      </c>
      <c r="D1538" s="9" t="s">
        <v>6184</v>
      </c>
      <c r="E1538" s="10" t="str">
        <f>HYPERLINK("https://twitter.com/BenderOfuscado/status/1070343607104741376","1070343607104741376")</f>
        <v>1070343607104741376</v>
      </c>
      <c r="F1538" s="11"/>
      <c r="G1538" s="11"/>
      <c r="H1538" s="11"/>
      <c r="I1538" s="14">
        <v>3</v>
      </c>
      <c r="J1538" s="14">
        <v>9</v>
      </c>
      <c r="K1538" s="15" t="str">
        <f t="shared" si="310"/>
        <v>Twitter for Android</v>
      </c>
      <c r="L1538" s="14">
        <v>399</v>
      </c>
      <c r="M1538" s="14">
        <v>119</v>
      </c>
      <c r="N1538" s="14">
        <v>3</v>
      </c>
      <c r="O1538" s="16"/>
      <c r="P1538" s="6">
        <v>43024.934791666667</v>
      </c>
      <c r="Q1538" s="11"/>
      <c r="R1538" s="17" t="s">
        <v>6187</v>
      </c>
      <c r="S1538" s="11"/>
      <c r="T1538" s="11"/>
      <c r="U1538" s="10" t="str">
        <f>HYPERLINK("https://pbs.twimg.com/profile_images/1032296142674055169/HJToDVsj.jpg","View")</f>
        <v>View</v>
      </c>
    </row>
    <row r="1539" spans="1:21" ht="51">
      <c r="A1539" s="6">
        <v>43439.697662037041</v>
      </c>
      <c r="B1539" s="7" t="str">
        <f>HYPERLINK("https://twitter.com/AlexThasgo","@AlexThasgo")</f>
        <v>@AlexThasgo</v>
      </c>
      <c r="C1539" s="8" t="s">
        <v>5115</v>
      </c>
      <c r="D1539" s="9" t="s">
        <v>5116</v>
      </c>
      <c r="E1539" s="10" t="str">
        <f>HYPERLINK("https://twitter.com/AlexThasgo/status/1070343194196500480","1070343194196500480")</f>
        <v>1070343194196500480</v>
      </c>
      <c r="F1539" s="12" t="s">
        <v>5117</v>
      </c>
      <c r="G1539" s="13" t="s">
        <v>5118</v>
      </c>
      <c r="H1539" s="11"/>
      <c r="I1539" s="14">
        <v>0</v>
      </c>
      <c r="J1539" s="14">
        <v>0</v>
      </c>
      <c r="K1539" s="15" t="str">
        <f>HYPERLINK("http://twitter.com/download/iphone","Twitter for iPhone")</f>
        <v>Twitter for iPhone</v>
      </c>
      <c r="L1539" s="14">
        <v>485</v>
      </c>
      <c r="M1539" s="14">
        <v>443</v>
      </c>
      <c r="N1539" s="14">
        <v>10</v>
      </c>
      <c r="O1539" s="16"/>
      <c r="P1539" s="6">
        <v>40957.641793981486</v>
      </c>
      <c r="Q1539" s="12" t="s">
        <v>5119</v>
      </c>
      <c r="R1539" s="17" t="s">
        <v>5120</v>
      </c>
      <c r="S1539" s="13" t="s">
        <v>5121</v>
      </c>
      <c r="T1539" s="11"/>
      <c r="U1539" s="10" t="str">
        <f>HYPERLINK("https://pbs.twimg.com/profile_images/1057365105455874048/C603GYjC.jpg","View")</f>
        <v>View</v>
      </c>
    </row>
    <row r="1540" spans="1:21" ht="30.6">
      <c r="A1540" s="6">
        <v>43439.695370370369</v>
      </c>
      <c r="B1540" s="7" t="str">
        <f>HYPERLINK("https://twitter.com/NaranjitoExpres","@NaranjitoExpres")</f>
        <v>@NaranjitoExpres</v>
      </c>
      <c r="C1540" s="8" t="s">
        <v>2924</v>
      </c>
      <c r="D1540" s="9" t="s">
        <v>6192</v>
      </c>
      <c r="E1540" s="10" t="str">
        <f>HYPERLINK("https://twitter.com/NaranjitoExpres/status/1070342365938896896","1070342365938896896")</f>
        <v>1070342365938896896</v>
      </c>
      <c r="F1540" s="13" t="s">
        <v>6193</v>
      </c>
      <c r="G1540" s="11"/>
      <c r="H1540" s="11"/>
      <c r="I1540" s="14">
        <v>0</v>
      </c>
      <c r="J1540" s="14">
        <v>0</v>
      </c>
      <c r="K1540" s="15" t="str">
        <f>HYPERLINK("https://ifttt.com","IFTTT")</f>
        <v>IFTTT</v>
      </c>
      <c r="L1540" s="14">
        <v>1332</v>
      </c>
      <c r="M1540" s="14">
        <v>1186</v>
      </c>
      <c r="N1540" s="14">
        <v>8</v>
      </c>
      <c r="O1540" s="16"/>
      <c r="P1540" s="6">
        <v>42301.67768518519</v>
      </c>
      <c r="Q1540" s="12" t="s">
        <v>60</v>
      </c>
      <c r="R1540" s="17" t="s">
        <v>2927</v>
      </c>
      <c r="S1540" s="13" t="s">
        <v>1587</v>
      </c>
      <c r="T1540" s="11"/>
      <c r="U1540" s="10" t="str">
        <f>HYPERLINK("https://pbs.twimg.com/profile_images/894744160279941120/fVCv-yaU.jpg","View")</f>
        <v>View</v>
      </c>
    </row>
    <row r="1541" spans="1:21" ht="40.799999999999997">
      <c r="A1541" s="6">
        <v>43439.695266203707</v>
      </c>
      <c r="B1541" s="7" t="str">
        <f>HYPERLINK("https://twitter.com/en16nueve","@en16nueve")</f>
        <v>@en16nueve</v>
      </c>
      <c r="C1541" s="8" t="s">
        <v>6197</v>
      </c>
      <c r="D1541" s="9" t="s">
        <v>6198</v>
      </c>
      <c r="E1541" s="10" t="str">
        <f>HYPERLINK("https://twitter.com/en16nueve/status/1070342328286621697","1070342328286621697")</f>
        <v>1070342328286621697</v>
      </c>
      <c r="F1541" s="11"/>
      <c r="G1541" s="11"/>
      <c r="H1541" s="11"/>
      <c r="I1541" s="14">
        <v>0</v>
      </c>
      <c r="J1541" s="14">
        <v>0</v>
      </c>
      <c r="K1541" s="15" t="str">
        <f t="shared" ref="K1541:K1542" si="311">HYPERLINK("http://twitter.com/download/iphone","Twitter for iPhone")</f>
        <v>Twitter for iPhone</v>
      </c>
      <c r="L1541" s="14">
        <v>23</v>
      </c>
      <c r="M1541" s="14">
        <v>104</v>
      </c>
      <c r="N1541" s="14">
        <v>1</v>
      </c>
      <c r="O1541" s="16"/>
      <c r="P1541" s="6">
        <v>42249.529351851852</v>
      </c>
      <c r="Q1541" s="11"/>
      <c r="R1541" s="17" t="s">
        <v>6201</v>
      </c>
      <c r="S1541" s="13" t="s">
        <v>6202</v>
      </c>
      <c r="T1541" s="11"/>
      <c r="U1541" s="10" t="str">
        <f>HYPERLINK("https://pbs.twimg.com/profile_images/1070459678264619014/noRycRR2.jpg","View")</f>
        <v>View</v>
      </c>
    </row>
    <row r="1542" spans="1:21" ht="51">
      <c r="A1542" s="6">
        <v>43439.6950462963</v>
      </c>
      <c r="B1542" s="7" t="str">
        <f>HYPERLINK("https://twitter.com/JMcGrau","@JMcGrau")</f>
        <v>@JMcGrau</v>
      </c>
      <c r="C1542" s="8" t="s">
        <v>5122</v>
      </c>
      <c r="D1542" s="9" t="s">
        <v>5123</v>
      </c>
      <c r="E1542" s="10" t="str">
        <f>HYPERLINK("https://twitter.com/JMcGrau/status/1070342245604311043","1070342245604311043")</f>
        <v>1070342245604311043</v>
      </c>
      <c r="F1542" s="11"/>
      <c r="G1542" s="11"/>
      <c r="H1542" s="11"/>
      <c r="I1542" s="14">
        <v>0</v>
      </c>
      <c r="J1542" s="14">
        <v>1</v>
      </c>
      <c r="K1542" s="15" t="str">
        <f t="shared" si="311"/>
        <v>Twitter for iPhone</v>
      </c>
      <c r="L1542" s="14">
        <v>1264</v>
      </c>
      <c r="M1542" s="14">
        <v>2115</v>
      </c>
      <c r="N1542" s="14">
        <v>16</v>
      </c>
      <c r="O1542" s="16"/>
      <c r="P1542" s="6">
        <v>40250.263287037036</v>
      </c>
      <c r="Q1542" s="12" t="s">
        <v>1695</v>
      </c>
      <c r="R1542" s="17" t="s">
        <v>5126</v>
      </c>
      <c r="S1542" s="11"/>
      <c r="T1542" s="11"/>
      <c r="U1542" s="10" t="str">
        <f>HYPERLINK("https://pbs.twimg.com/profile_images/1035877802279624705/asPXXCJ0.jpg","View")</f>
        <v>View</v>
      </c>
    </row>
    <row r="1543" spans="1:21" ht="40.799999999999997">
      <c r="A1543" s="6">
        <v>43439.694409722222</v>
      </c>
      <c r="B1543" s="7" t="str">
        <f>HYPERLINK("https://twitter.com/IndeGranada","@IndeGranada")</f>
        <v>@IndeGranada</v>
      </c>
      <c r="C1543" s="8" t="s">
        <v>3189</v>
      </c>
      <c r="D1543" s="9" t="s">
        <v>5129</v>
      </c>
      <c r="E1543" s="10" t="str">
        <f>HYPERLINK("https://twitter.com/IndeGranada/status/1070342018424029184","1070342018424029184")</f>
        <v>1070342018424029184</v>
      </c>
      <c r="F1543" s="13" t="s">
        <v>5130</v>
      </c>
      <c r="G1543" s="13" t="s">
        <v>5131</v>
      </c>
      <c r="H1543" s="11"/>
      <c r="I1543" s="14">
        <v>0</v>
      </c>
      <c r="J1543" s="14">
        <v>1</v>
      </c>
      <c r="K1543" s="15" t="str">
        <f>HYPERLINK("http://twitter.com","Twitter Web Client")</f>
        <v>Twitter Web Client</v>
      </c>
      <c r="L1543" s="14">
        <v>7070</v>
      </c>
      <c r="M1543" s="14">
        <v>594</v>
      </c>
      <c r="N1543" s="14">
        <v>184</v>
      </c>
      <c r="O1543" s="16"/>
      <c r="P1543" s="6">
        <v>42020.60491898148</v>
      </c>
      <c r="Q1543" s="12" t="s">
        <v>3194</v>
      </c>
      <c r="R1543" s="17" t="s">
        <v>3195</v>
      </c>
      <c r="S1543" s="11"/>
      <c r="T1543" s="11"/>
      <c r="U1543" s="10" t="str">
        <f>HYPERLINK("https://pbs.twimg.com/profile_images/577561039371304960/0kPjKda0.jpeg","View")</f>
        <v>View</v>
      </c>
    </row>
    <row r="1544" spans="1:21" ht="51">
      <c r="A1544" s="6">
        <v>43439.694398148145</v>
      </c>
      <c r="B1544" s="7" t="str">
        <f>HYPERLINK("https://twitter.com/GrdAlcantara","@GrdAlcantara")</f>
        <v>@GrdAlcantara</v>
      </c>
      <c r="C1544" s="8" t="s">
        <v>320</v>
      </c>
      <c r="D1544" s="9" t="s">
        <v>5132</v>
      </c>
      <c r="E1544" s="10" t="str">
        <f>HYPERLINK("https://twitter.com/GrdAlcantara/status/1070342011276939265","1070342011276939265")</f>
        <v>1070342011276939265</v>
      </c>
      <c r="F1544" s="13" t="s">
        <v>5133</v>
      </c>
      <c r="G1544" s="11"/>
      <c r="H1544" s="11"/>
      <c r="I1544" s="14">
        <v>0</v>
      </c>
      <c r="J1544" s="14">
        <v>0</v>
      </c>
      <c r="K1544" s="15" t="str">
        <f>HYPERLINK("http://twitter.com/download/iphone","Twitter for iPhone")</f>
        <v>Twitter for iPhone</v>
      </c>
      <c r="L1544" s="14">
        <v>451</v>
      </c>
      <c r="M1544" s="14">
        <v>768</v>
      </c>
      <c r="N1544" s="14">
        <v>19</v>
      </c>
      <c r="O1544" s="16"/>
      <c r="P1544" s="6">
        <v>42531.622361111113</v>
      </c>
      <c r="Q1544" s="12" t="s">
        <v>323</v>
      </c>
      <c r="R1544" s="17" t="s">
        <v>324</v>
      </c>
      <c r="S1544" s="11"/>
      <c r="T1544" s="11"/>
      <c r="U1544" s="10" t="str">
        <f>HYPERLINK("https://pbs.twimg.com/profile_images/921622233759567872/kB4LOrNM.jpg","View")</f>
        <v>View</v>
      </c>
    </row>
    <row r="1545" spans="1:21" ht="40.799999999999997">
      <c r="A1545" s="6">
        <v>43439.693981481483</v>
      </c>
      <c r="B1545" s="7" t="str">
        <f>HYPERLINK("https://twitter.com/CiutadansCs","@CiutadansCs")</f>
        <v>@CiutadansCs</v>
      </c>
      <c r="C1545" s="8" t="s">
        <v>2635</v>
      </c>
      <c r="D1545" s="9" t="s">
        <v>5138</v>
      </c>
      <c r="E1545" s="10" t="str">
        <f>HYPERLINK("https://twitter.com/CiutadansCs/status/1070341860500086784","1070341860500086784")</f>
        <v>1070341860500086784</v>
      </c>
      <c r="F1545" s="11"/>
      <c r="G1545" s="13" t="s">
        <v>5139</v>
      </c>
      <c r="H1545" s="11"/>
      <c r="I1545" s="14">
        <v>31</v>
      </c>
      <c r="J1545" s="14">
        <v>63</v>
      </c>
      <c r="K1545" s="15" t="str">
        <f>HYPERLINK("http://twitter.com","Twitter Web Client")</f>
        <v>Twitter Web Client</v>
      </c>
      <c r="L1545" s="14">
        <v>21904</v>
      </c>
      <c r="M1545" s="14">
        <v>2558</v>
      </c>
      <c r="N1545" s="14">
        <v>294</v>
      </c>
      <c r="O1545" s="19" t="s">
        <v>42</v>
      </c>
      <c r="P1545" s="6">
        <v>41884.461458333331</v>
      </c>
      <c r="Q1545" s="12" t="s">
        <v>2638</v>
      </c>
      <c r="R1545" s="17" t="s">
        <v>2639</v>
      </c>
      <c r="S1545" s="13" t="s">
        <v>822</v>
      </c>
      <c r="T1545" s="11"/>
      <c r="U1545" s="10" t="str">
        <f>HYPERLINK("https://pbs.twimg.com/profile_images/1053570460867289088/YHy8eYee.png","View")</f>
        <v>View</v>
      </c>
    </row>
    <row r="1546" spans="1:21" ht="40.799999999999997">
      <c r="A1546" s="6">
        <v>43439.693865740745</v>
      </c>
      <c r="B1546" s="7" t="str">
        <f>HYPERLINK("https://twitter.com/CiudadanosCs","@CiudadanosCs")</f>
        <v>@CiudadanosCs</v>
      </c>
      <c r="C1546" s="8" t="s">
        <v>489</v>
      </c>
      <c r="D1546" s="9" t="s">
        <v>5140</v>
      </c>
      <c r="E1546" s="10" t="str">
        <f>HYPERLINK("https://twitter.com/CiudadanosCs/status/1070341820700377088","1070341820700377088")</f>
        <v>1070341820700377088</v>
      </c>
      <c r="F1546" s="11"/>
      <c r="G1546" s="13" t="s">
        <v>5143</v>
      </c>
      <c r="H1546" s="11"/>
      <c r="I1546" s="14">
        <v>103</v>
      </c>
      <c r="J1546" s="14">
        <v>183</v>
      </c>
      <c r="K1546" s="15" t="str">
        <f>HYPERLINK("https://studio.twitter.com","Twitter Media Studio")</f>
        <v>Twitter Media Studio</v>
      </c>
      <c r="L1546" s="14">
        <v>490821</v>
      </c>
      <c r="M1546" s="14">
        <v>93557</v>
      </c>
      <c r="N1546" s="14">
        <v>3338</v>
      </c>
      <c r="O1546" s="19" t="s">
        <v>42</v>
      </c>
      <c r="P1546" s="6">
        <v>39828.753460648149</v>
      </c>
      <c r="Q1546" s="12" t="s">
        <v>137</v>
      </c>
      <c r="R1546" s="17" t="s">
        <v>492</v>
      </c>
      <c r="S1546" s="13" t="s">
        <v>493</v>
      </c>
      <c r="T1546" s="11"/>
      <c r="U1546" s="10" t="str">
        <f>HYPERLINK("https://pbs.twimg.com/profile_images/1053554096161075200/1z77_zBZ.jpg","View")</f>
        <v>View</v>
      </c>
    </row>
    <row r="1547" spans="1:21" ht="30.6">
      <c r="A1547" s="6">
        <v>43439.693206018521</v>
      </c>
      <c r="B1547" s="7" t="str">
        <f>HYPERLINK("https://twitter.com/Sebi_Berenger","@Sebi_Berenger")</f>
        <v>@Sebi_Berenger</v>
      </c>
      <c r="C1547" s="8" t="s">
        <v>6220</v>
      </c>
      <c r="D1547" s="9" t="s">
        <v>6221</v>
      </c>
      <c r="E1547" s="10" t="str">
        <f>HYPERLINK("https://twitter.com/Sebi_Berenger/status/1070341580698062848","1070341580698062848")</f>
        <v>1070341580698062848</v>
      </c>
      <c r="F1547" s="13" t="s">
        <v>6223</v>
      </c>
      <c r="G1547" s="11"/>
      <c r="H1547" s="11"/>
      <c r="I1547" s="14">
        <v>0</v>
      </c>
      <c r="J1547" s="14">
        <v>0</v>
      </c>
      <c r="K1547" s="15" t="str">
        <f>HYPERLINK("http://twitter.com","Twitter Web Client")</f>
        <v>Twitter Web Client</v>
      </c>
      <c r="L1547" s="14">
        <v>1638</v>
      </c>
      <c r="M1547" s="14">
        <v>746</v>
      </c>
      <c r="N1547" s="14">
        <v>17</v>
      </c>
      <c r="O1547" s="16"/>
      <c r="P1547" s="6">
        <v>40543.820694444446</v>
      </c>
      <c r="Q1547" s="12" t="s">
        <v>6224</v>
      </c>
      <c r="R1547" s="17" t="s">
        <v>6225</v>
      </c>
      <c r="S1547" s="11"/>
      <c r="T1547" s="11"/>
      <c r="U1547" s="10" t="str">
        <f>HYPERLINK("https://pbs.twimg.com/profile_images/983752038294130688/f7YFl13_.jpg","View")</f>
        <v>View</v>
      </c>
    </row>
    <row r="1548" spans="1:21" ht="20.399999999999999">
      <c r="A1548" s="6">
        <v>43439.692430555559</v>
      </c>
      <c r="B1548" s="7" t="str">
        <f>HYPERLINK("https://twitter.com/MartinaDiv","@MartinaDiv")</f>
        <v>@MartinaDiv</v>
      </c>
      <c r="C1548" s="8" t="s">
        <v>6230</v>
      </c>
      <c r="D1548" s="9" t="s">
        <v>6231</v>
      </c>
      <c r="E1548" s="10" t="str">
        <f>HYPERLINK("https://twitter.com/MartinaDiv/status/1070341301256814593","1070341301256814593")</f>
        <v>1070341301256814593</v>
      </c>
      <c r="F1548" s="11"/>
      <c r="G1548" s="13" t="s">
        <v>6234</v>
      </c>
      <c r="H1548" s="11"/>
      <c r="I1548" s="14">
        <v>0</v>
      </c>
      <c r="J1548" s="14">
        <v>0</v>
      </c>
      <c r="K1548" s="15" t="str">
        <f>HYPERLINK("http://twitter.com/download/iphone","Twitter for iPhone")</f>
        <v>Twitter for iPhone</v>
      </c>
      <c r="L1548" s="14">
        <v>694</v>
      </c>
      <c r="M1548" s="14">
        <v>478</v>
      </c>
      <c r="N1548" s="14">
        <v>9</v>
      </c>
      <c r="O1548" s="16"/>
      <c r="P1548" s="6">
        <v>40876.829386574071</v>
      </c>
      <c r="Q1548" s="12" t="s">
        <v>137</v>
      </c>
      <c r="R1548" s="17" t="s">
        <v>6238</v>
      </c>
      <c r="S1548" s="11"/>
      <c r="T1548" s="11"/>
      <c r="U1548" s="10" t="str">
        <f>HYPERLINK("https://pbs.twimg.com/profile_images/2525312543/x1na0jrpn4fkinjv3o66.jpeg","View")</f>
        <v>View</v>
      </c>
    </row>
    <row r="1549" spans="1:21" ht="51">
      <c r="A1549" s="6">
        <v>43439.689652777779</v>
      </c>
      <c r="B1549" s="7" t="str">
        <f>HYPERLINK("https://twitter.com/Frico75","@Frico75")</f>
        <v>@Frico75</v>
      </c>
      <c r="C1549" s="8" t="s">
        <v>5147</v>
      </c>
      <c r="D1549" s="9" t="s">
        <v>5148</v>
      </c>
      <c r="E1549" s="10" t="str">
        <f>HYPERLINK("https://twitter.com/Frico75/status/1070340293210357761","1070340293210357761")</f>
        <v>1070340293210357761</v>
      </c>
      <c r="F1549" s="11"/>
      <c r="G1549" s="11"/>
      <c r="H1549" s="11"/>
      <c r="I1549" s="14">
        <v>0</v>
      </c>
      <c r="J1549" s="14">
        <v>0</v>
      </c>
      <c r="K1549" s="15" t="str">
        <f>HYPERLINK("http://twitter.com","Twitter Web Client")</f>
        <v>Twitter Web Client</v>
      </c>
      <c r="L1549" s="14">
        <v>73</v>
      </c>
      <c r="M1549" s="14">
        <v>760</v>
      </c>
      <c r="N1549" s="14">
        <v>3</v>
      </c>
      <c r="O1549" s="16"/>
      <c r="P1549" s="6">
        <v>43015.62981481482</v>
      </c>
      <c r="Q1549" s="12" t="s">
        <v>5149</v>
      </c>
      <c r="R1549" s="17" t="s">
        <v>5150</v>
      </c>
      <c r="S1549" s="11"/>
      <c r="T1549" s="11"/>
      <c r="U1549" s="10" t="str">
        <f>HYPERLINK("https://pbs.twimg.com/profile_images/927593642860085248/KsjV5NFb.jpg","View")</f>
        <v>View</v>
      </c>
    </row>
    <row r="1550" spans="1:21" ht="51">
      <c r="A1550" s="6">
        <v>43439.686828703707</v>
      </c>
      <c r="B1550" s="7" t="str">
        <f>HYPERLINK("https://twitter.com/etrigar","@etrigar")</f>
        <v>@etrigar</v>
      </c>
      <c r="C1550" s="8" t="s">
        <v>2578</v>
      </c>
      <c r="D1550" s="9" t="s">
        <v>6244</v>
      </c>
      <c r="E1550" s="10" t="str">
        <f>HYPERLINK("https://twitter.com/etrigar/status/1070339269456211968","1070339269456211968")</f>
        <v>1070339269456211968</v>
      </c>
      <c r="F1550" s="13" t="s">
        <v>6245</v>
      </c>
      <c r="G1550" s="11"/>
      <c r="H1550" s="11"/>
      <c r="I1550" s="14">
        <v>1</v>
      </c>
      <c r="J1550" s="14">
        <v>0</v>
      </c>
      <c r="K1550" s="15" t="str">
        <f>HYPERLINK("http://twitter.com/download/android","Twitter for Android")</f>
        <v>Twitter for Android</v>
      </c>
      <c r="L1550" s="14">
        <v>495</v>
      </c>
      <c r="M1550" s="14">
        <v>673</v>
      </c>
      <c r="N1550" s="14">
        <v>28</v>
      </c>
      <c r="O1550" s="16"/>
      <c r="P1550" s="6">
        <v>41106.399930555555</v>
      </c>
      <c r="Q1550" s="12" t="s">
        <v>29</v>
      </c>
      <c r="R1550" s="17" t="s">
        <v>2583</v>
      </c>
      <c r="S1550" s="11"/>
      <c r="T1550" s="11"/>
      <c r="U1550" s="10" t="str">
        <f>HYPERLINK("https://pbs.twimg.com/profile_images/633040619984711680/aB-aD_Ku.jpg","View")</f>
        <v>View</v>
      </c>
    </row>
    <row r="1551" spans="1:21" ht="20.399999999999999">
      <c r="A1551" s="6">
        <v>43439.686157407406</v>
      </c>
      <c r="B1551" s="7" t="str">
        <f>HYPERLINK("https://twitter.com/GripauG","@GripauG")</f>
        <v>@GripauG</v>
      </c>
      <c r="C1551" s="8" t="s">
        <v>154</v>
      </c>
      <c r="D1551" s="9" t="s">
        <v>156</v>
      </c>
      <c r="E1551" s="10" t="str">
        <f>HYPERLINK("https://twitter.com/GripauG/status/1070339026429841412","1070339026429841412")</f>
        <v>1070339026429841412</v>
      </c>
      <c r="F1551" s="11"/>
      <c r="G1551" s="13" t="s">
        <v>157</v>
      </c>
      <c r="H1551" s="11"/>
      <c r="I1551" s="14">
        <v>0</v>
      </c>
      <c r="J1551" s="14">
        <v>0</v>
      </c>
      <c r="K1551" s="15" t="str">
        <f>HYPERLINK("http://twitter.com/#!/download/ipad","Twitter for iPad")</f>
        <v>Twitter for iPad</v>
      </c>
      <c r="L1551" s="14">
        <v>32</v>
      </c>
      <c r="M1551" s="14">
        <v>121</v>
      </c>
      <c r="N1551" s="14">
        <v>1</v>
      </c>
      <c r="O1551" s="16"/>
      <c r="P1551" s="6">
        <v>43359.888645833329</v>
      </c>
      <c r="Q1551" s="11"/>
      <c r="R1551" s="17" t="s">
        <v>161</v>
      </c>
      <c r="S1551" s="11"/>
      <c r="T1551" s="11"/>
      <c r="U1551" s="10" t="str">
        <f>HYPERLINK("https://pbs.twimg.com/profile_images/1055865454672179200/4zrcC5V_.jpg","View")</f>
        <v>View</v>
      </c>
    </row>
    <row r="1552" spans="1:21" ht="61.2">
      <c r="A1552" s="6">
        <v>43439.686122685191</v>
      </c>
      <c r="B1552" s="7" t="str">
        <f>HYPERLINK("https://twitter.com/JL_CM84","@JL_CM84")</f>
        <v>@JL_CM84</v>
      </c>
      <c r="C1552" s="8" t="s">
        <v>5151</v>
      </c>
      <c r="D1552" s="9" t="s">
        <v>5152</v>
      </c>
      <c r="E1552" s="10" t="str">
        <f>HYPERLINK("https://twitter.com/JL_CM84/status/1070339015407230976","1070339015407230976")</f>
        <v>1070339015407230976</v>
      </c>
      <c r="F1552" s="11"/>
      <c r="G1552" s="11"/>
      <c r="H1552" s="11"/>
      <c r="I1552" s="14">
        <v>0</v>
      </c>
      <c r="J1552" s="14">
        <v>1</v>
      </c>
      <c r="K1552" s="15" t="str">
        <f t="shared" ref="K1552:K1553" si="312">HYPERLINK("http://twitter.com/download/android","Twitter for Android")</f>
        <v>Twitter for Android</v>
      </c>
      <c r="L1552" s="14">
        <v>914</v>
      </c>
      <c r="M1552" s="14">
        <v>798</v>
      </c>
      <c r="N1552" s="14">
        <v>42</v>
      </c>
      <c r="O1552" s="16"/>
      <c r="P1552" s="6">
        <v>41306.667870370373</v>
      </c>
      <c r="Q1552" s="12" t="s">
        <v>137</v>
      </c>
      <c r="R1552" s="17" t="s">
        <v>5153</v>
      </c>
      <c r="S1552" s="11"/>
      <c r="T1552" s="11"/>
      <c r="U1552" s="10" t="str">
        <f>HYPERLINK("https://pbs.twimg.com/profile_images/1019609894637461504/liwH3WUE.jpg","View")</f>
        <v>View</v>
      </c>
    </row>
    <row r="1553" spans="1:21" ht="40.799999999999997">
      <c r="A1553" s="6">
        <v>43439.68472222222</v>
      </c>
      <c r="B1553" s="7" t="str">
        <f>HYPERLINK("https://twitter.com/ariasmarkes","@ariasmarkes")</f>
        <v>@ariasmarkes</v>
      </c>
      <c r="C1553" s="8" t="s">
        <v>6256</v>
      </c>
      <c r="D1553" s="9" t="s">
        <v>6257</v>
      </c>
      <c r="E1553" s="10" t="str">
        <f>HYPERLINK("https://twitter.com/ariasmarkes/status/1070338507443441664","1070338507443441664")</f>
        <v>1070338507443441664</v>
      </c>
      <c r="F1553" s="11"/>
      <c r="G1553" s="11"/>
      <c r="H1553" s="11"/>
      <c r="I1553" s="14">
        <v>1</v>
      </c>
      <c r="J1553" s="14">
        <v>6</v>
      </c>
      <c r="K1553" s="15" t="str">
        <f t="shared" si="312"/>
        <v>Twitter for Android</v>
      </c>
      <c r="L1553" s="14">
        <v>2548</v>
      </c>
      <c r="M1553" s="14">
        <v>4933</v>
      </c>
      <c r="N1553" s="14">
        <v>5</v>
      </c>
      <c r="O1553" s="16"/>
      <c r="P1553" s="6">
        <v>42748.649421296301</v>
      </c>
      <c r="Q1553" s="11"/>
      <c r="R1553" s="17" t="s">
        <v>6260</v>
      </c>
      <c r="S1553" s="11"/>
      <c r="T1553" s="11"/>
      <c r="U1553" s="10" t="str">
        <f>HYPERLINK("https://pbs.twimg.com/profile_images/863875738436587521/O8340iPn.jpg","View")</f>
        <v>View</v>
      </c>
    </row>
    <row r="1554" spans="1:21" ht="30.6">
      <c r="A1554" s="6">
        <v>43439.683587962965</v>
      </c>
      <c r="B1554" s="7" t="str">
        <f>HYPERLINK("https://twitter.com/diariolaopinion","@diariolaopinion")</f>
        <v>@diariolaopinion</v>
      </c>
      <c r="C1554" s="8" t="s">
        <v>5154</v>
      </c>
      <c r="D1554" s="9" t="s">
        <v>5155</v>
      </c>
      <c r="E1554" s="10" t="str">
        <f>HYPERLINK("https://twitter.com/diariolaopinion/status/1070338095038509056","1070338095038509056")</f>
        <v>1070338095038509056</v>
      </c>
      <c r="F1554" s="13" t="s">
        <v>5158</v>
      </c>
      <c r="G1554" s="11"/>
      <c r="H1554" s="11"/>
      <c r="I1554" s="14">
        <v>0</v>
      </c>
      <c r="J1554" s="14">
        <v>0</v>
      </c>
      <c r="K1554" s="15" t="str">
        <f>HYPERLINK("http://twitter.com","Twitter Web Client")</f>
        <v>Twitter Web Client</v>
      </c>
      <c r="L1554" s="14">
        <v>120073</v>
      </c>
      <c r="M1554" s="14">
        <v>1380</v>
      </c>
      <c r="N1554" s="14">
        <v>938</v>
      </c>
      <c r="O1554" s="19" t="s">
        <v>42</v>
      </c>
      <c r="P1554" s="6">
        <v>40273.898692129631</v>
      </c>
      <c r="Q1554" s="12" t="s">
        <v>820</v>
      </c>
      <c r="R1554" s="17" t="s">
        <v>5161</v>
      </c>
      <c r="S1554" s="13" t="s">
        <v>5162</v>
      </c>
      <c r="T1554" s="11"/>
      <c r="U1554" s="10" t="str">
        <f>HYPERLINK("https://pbs.twimg.com/profile_images/948983253708476416/8KUZQrUn.jpg","View")</f>
        <v>View</v>
      </c>
    </row>
    <row r="1555" spans="1:21" ht="61.2">
      <c r="A1555" s="6">
        <v>43439.68346064815</v>
      </c>
      <c r="B1555" s="7" t="str">
        <f>HYPERLINK("https://twitter.com/jerythebest","@jerythebest")</f>
        <v>@jerythebest</v>
      </c>
      <c r="C1555" s="8" t="s">
        <v>5163</v>
      </c>
      <c r="D1555" s="9" t="s">
        <v>5164</v>
      </c>
      <c r="E1555" s="10" t="str">
        <f>HYPERLINK("https://twitter.com/jerythebest/status/1070338049798750209","1070338049798750209")</f>
        <v>1070338049798750209</v>
      </c>
      <c r="F1555" s="11"/>
      <c r="G1555" s="13" t="s">
        <v>5165</v>
      </c>
      <c r="H1555" s="11"/>
      <c r="I1555" s="14">
        <v>0</v>
      </c>
      <c r="J1555" s="14">
        <v>0</v>
      </c>
      <c r="K1555" s="15" t="str">
        <f>HYPERLINK("http://twitter.com/download/android","Twitter for Android")</f>
        <v>Twitter for Android</v>
      </c>
      <c r="L1555" s="14">
        <v>433</v>
      </c>
      <c r="M1555" s="14">
        <v>928</v>
      </c>
      <c r="N1555" s="14">
        <v>1</v>
      </c>
      <c r="O1555" s="16"/>
      <c r="P1555" s="6">
        <v>41078.875949074078</v>
      </c>
      <c r="Q1555" s="11"/>
      <c r="R1555" s="17" t="s">
        <v>5168</v>
      </c>
      <c r="S1555" s="11"/>
      <c r="T1555" s="11"/>
      <c r="U1555" s="10" t="str">
        <f>HYPERLINK("https://pbs.twimg.com/profile_images/609469283924606977/nQoewCZj.jpg","View")</f>
        <v>View</v>
      </c>
    </row>
    <row r="1556" spans="1:21" ht="30.6">
      <c r="A1556" s="6">
        <v>43439.683101851857</v>
      </c>
      <c r="B1556" s="7" t="str">
        <f>HYPERLINK("https://twitter.com/AnnyadeRusia","@AnnyadeRusia")</f>
        <v>@AnnyadeRusia</v>
      </c>
      <c r="C1556" s="8" t="s">
        <v>6270</v>
      </c>
      <c r="D1556" s="9" t="s">
        <v>6271</v>
      </c>
      <c r="E1556" s="10" t="str">
        <f>HYPERLINK("https://twitter.com/AnnyadeRusia/status/1070337919418798080","1070337919418798080")</f>
        <v>1070337919418798080</v>
      </c>
      <c r="F1556" s="11"/>
      <c r="G1556" s="11"/>
      <c r="H1556" s="11"/>
      <c r="I1556" s="14">
        <v>3</v>
      </c>
      <c r="J1556" s="14">
        <v>2</v>
      </c>
      <c r="K1556" s="15" t="str">
        <f t="shared" ref="K1556:K1557" si="313">HYPERLINK("http://twitter.com","Twitter Web Client")</f>
        <v>Twitter Web Client</v>
      </c>
      <c r="L1556" s="14">
        <v>743</v>
      </c>
      <c r="M1556" s="14">
        <v>339</v>
      </c>
      <c r="N1556" s="14">
        <v>12</v>
      </c>
      <c r="O1556" s="16"/>
      <c r="P1556" s="6">
        <v>41050.876793981479</v>
      </c>
      <c r="Q1556" s="11"/>
      <c r="R1556" s="17" t="s">
        <v>6272</v>
      </c>
      <c r="S1556" s="13" t="s">
        <v>6273</v>
      </c>
      <c r="T1556" s="11"/>
      <c r="U1556" s="10" t="str">
        <f>HYPERLINK("https://pbs.twimg.com/profile_images/745321098565259265/M1YzmcjL.jpg","View")</f>
        <v>View</v>
      </c>
    </row>
    <row r="1557" spans="1:21" ht="61.2">
      <c r="A1557" s="6">
        <v>43439.682337962964</v>
      </c>
      <c r="B1557" s="7" t="str">
        <f>HYPERLINK("https://twitter.com/francheta62","@francheta62")</f>
        <v>@francheta62</v>
      </c>
      <c r="C1557" s="8" t="s">
        <v>5170</v>
      </c>
      <c r="D1557" s="9" t="s">
        <v>5171</v>
      </c>
      <c r="E1557" s="10" t="str">
        <f>HYPERLINK("https://twitter.com/francheta62/status/1070337640719896577","1070337640719896577")</f>
        <v>1070337640719896577</v>
      </c>
      <c r="F1557" s="11"/>
      <c r="G1557" s="11"/>
      <c r="H1557" s="11"/>
      <c r="I1557" s="14">
        <v>1</v>
      </c>
      <c r="J1557" s="14">
        <v>1</v>
      </c>
      <c r="K1557" s="15" t="str">
        <f t="shared" si="313"/>
        <v>Twitter Web Client</v>
      </c>
      <c r="L1557" s="14">
        <v>939</v>
      </c>
      <c r="M1557" s="14">
        <v>869</v>
      </c>
      <c r="N1557" s="14">
        <v>14</v>
      </c>
      <c r="O1557" s="16"/>
      <c r="P1557" s="6">
        <v>40730.79011574074</v>
      </c>
      <c r="Q1557" s="11"/>
      <c r="R1557" s="17" t="s">
        <v>5177</v>
      </c>
      <c r="S1557" s="11"/>
      <c r="T1557" s="11"/>
      <c r="U1557" s="10" t="str">
        <f>HYPERLINK("https://pbs.twimg.com/profile_images/956870179086053376/ncafOkqL.jpg","View")</f>
        <v>View</v>
      </c>
    </row>
    <row r="1558" spans="1:21" ht="40.799999999999997">
      <c r="A1558" s="6">
        <v>43439.681967592594</v>
      </c>
      <c r="B1558" s="7" t="str">
        <f>HYPERLINK("https://twitter.com/manolux4444","@manolux4444")</f>
        <v>@manolux4444</v>
      </c>
      <c r="C1558" s="8" t="s">
        <v>5178</v>
      </c>
      <c r="D1558" s="9" t="s">
        <v>5179</v>
      </c>
      <c r="E1558" s="10" t="str">
        <f>HYPERLINK("https://twitter.com/manolux4444/status/1070337510008606721","1070337510008606721")</f>
        <v>1070337510008606721</v>
      </c>
      <c r="F1558" s="11"/>
      <c r="G1558" s="11"/>
      <c r="H1558" s="11"/>
      <c r="I1558" s="14">
        <v>1</v>
      </c>
      <c r="J1558" s="14">
        <v>8</v>
      </c>
      <c r="K1558" s="15" t="str">
        <f t="shared" ref="K1558:K1559" si="314">HYPERLINK("http://twitter.com/download/iphone","Twitter for iPhone")</f>
        <v>Twitter for iPhone</v>
      </c>
      <c r="L1558" s="14">
        <v>1825</v>
      </c>
      <c r="M1558" s="14">
        <v>998</v>
      </c>
      <c r="N1558" s="14">
        <v>62</v>
      </c>
      <c r="O1558" s="16"/>
      <c r="P1558" s="6">
        <v>42180.427129629628</v>
      </c>
      <c r="Q1558" s="12" t="s">
        <v>4920</v>
      </c>
      <c r="R1558" s="17" t="s">
        <v>5181</v>
      </c>
      <c r="S1558" s="12" t="s">
        <v>5182</v>
      </c>
      <c r="T1558" s="11"/>
      <c r="U1558" s="10" t="str">
        <f>HYPERLINK("https://pbs.twimg.com/profile_images/791337270737600517/9Hf3fYOS.jpg","View")</f>
        <v>View</v>
      </c>
    </row>
    <row r="1559" spans="1:21" ht="81.599999999999994">
      <c r="A1559" s="6">
        <v>43439.681909722218</v>
      </c>
      <c r="B1559" s="7" t="str">
        <f>HYPERLINK("https://twitter.com/ROSARIOAGUILAR7","@ROSARIOAGUILAR7")</f>
        <v>@ROSARIOAGUILAR7</v>
      </c>
      <c r="C1559" s="8" t="s">
        <v>5183</v>
      </c>
      <c r="D1559" s="9" t="s">
        <v>5184</v>
      </c>
      <c r="E1559" s="10" t="str">
        <f>HYPERLINK("https://twitter.com/ROSARIOAGUILAR7/status/1070337488592531456","1070337488592531456")</f>
        <v>1070337488592531456</v>
      </c>
      <c r="F1559" s="13" t="s">
        <v>5185</v>
      </c>
      <c r="G1559" s="13" t="s">
        <v>5186</v>
      </c>
      <c r="H1559" s="11"/>
      <c r="I1559" s="14">
        <v>0</v>
      </c>
      <c r="J1559" s="14">
        <v>0</v>
      </c>
      <c r="K1559" s="15" t="str">
        <f t="shared" si="314"/>
        <v>Twitter for iPhone</v>
      </c>
      <c r="L1559" s="14">
        <v>591</v>
      </c>
      <c r="M1559" s="14">
        <v>223</v>
      </c>
      <c r="N1559" s="14">
        <v>20</v>
      </c>
      <c r="O1559" s="16"/>
      <c r="P1559" s="6">
        <v>40606.912974537037</v>
      </c>
      <c r="Q1559" s="12" t="s">
        <v>5187</v>
      </c>
      <c r="R1559" s="17" t="s">
        <v>5188</v>
      </c>
      <c r="S1559" s="11"/>
      <c r="T1559" s="11"/>
      <c r="U1559" s="10" t="str">
        <f>HYPERLINK("https://pbs.twimg.com/profile_images/1033648990196322305/X8IJQL7c.jpg","View")</f>
        <v>View</v>
      </c>
    </row>
    <row r="1560" spans="1:21" ht="40.799999999999997">
      <c r="A1560" s="6">
        <v>43439.680856481486</v>
      </c>
      <c r="B1560" s="7" t="str">
        <f>HYPERLINK("https://twitter.com/AlbertoSBlanco","@AlbertoSBlanco")</f>
        <v>@AlbertoSBlanco</v>
      </c>
      <c r="C1560" s="8" t="s">
        <v>2358</v>
      </c>
      <c r="D1560" s="9" t="s">
        <v>5189</v>
      </c>
      <c r="E1560" s="10" t="str">
        <f>HYPERLINK("https://twitter.com/AlbertoSBlanco/status/1070337105165996032","1070337105165996032")</f>
        <v>1070337105165996032</v>
      </c>
      <c r="F1560" s="13" t="s">
        <v>5190</v>
      </c>
      <c r="G1560" s="11"/>
      <c r="H1560" s="11"/>
      <c r="I1560" s="14">
        <v>0</v>
      </c>
      <c r="J1560" s="14">
        <v>0</v>
      </c>
      <c r="K1560" s="15" t="str">
        <f>HYPERLINK("http://twitter.com/download/android","Twitter for Android")</f>
        <v>Twitter for Android</v>
      </c>
      <c r="L1560" s="14">
        <v>2667</v>
      </c>
      <c r="M1560" s="14">
        <v>1400</v>
      </c>
      <c r="N1560" s="14">
        <v>33</v>
      </c>
      <c r="O1560" s="16"/>
      <c r="P1560" s="6">
        <v>40747.720636574071</v>
      </c>
      <c r="Q1560" s="11"/>
      <c r="R1560" s="17" t="s">
        <v>2361</v>
      </c>
      <c r="S1560" s="13" t="s">
        <v>2362</v>
      </c>
      <c r="T1560" s="11"/>
      <c r="U1560" s="10" t="str">
        <f>HYPERLINK("https://pbs.twimg.com/profile_images/966330983829135360/yRqQ0NN1.jpg","View")</f>
        <v>View</v>
      </c>
    </row>
    <row r="1561" spans="1:21" ht="20.399999999999999">
      <c r="A1561" s="6">
        <v>43439.68</v>
      </c>
      <c r="B1561" s="7" t="str">
        <f>HYPERLINK("https://twitter.com/carmenas2","@carmenas2")</f>
        <v>@carmenas2</v>
      </c>
      <c r="C1561" s="8" t="s">
        <v>6288</v>
      </c>
      <c r="D1561" s="9" t="s">
        <v>4065</v>
      </c>
      <c r="E1561" s="10" t="str">
        <f>HYPERLINK("https://twitter.com/carmenas2/status/1070336794695098368","1070336794695098368")</f>
        <v>1070336794695098368</v>
      </c>
      <c r="F1561" s="13" t="s">
        <v>3869</v>
      </c>
      <c r="G1561" s="11"/>
      <c r="H1561" s="11"/>
      <c r="I1561" s="14">
        <v>0</v>
      </c>
      <c r="J1561" s="14">
        <v>0</v>
      </c>
      <c r="K1561" s="15" t="str">
        <f t="shared" ref="K1561:K1562" si="315">HYPERLINK("http://twitter.com","Twitter Web Client")</f>
        <v>Twitter Web Client</v>
      </c>
      <c r="L1561" s="14">
        <v>1767</v>
      </c>
      <c r="M1561" s="14">
        <v>2745</v>
      </c>
      <c r="N1561" s="14">
        <v>40</v>
      </c>
      <c r="O1561" s="16"/>
      <c r="P1561" s="6">
        <v>40682.860312500001</v>
      </c>
      <c r="Q1561" s="11"/>
      <c r="R1561" s="18"/>
      <c r="S1561" s="11"/>
      <c r="T1561" s="11"/>
      <c r="U1561" s="10" t="str">
        <f>HYPERLINK("https://pbs.twimg.com/profile_images/693849664148410368/TC047fwY.jpg","View")</f>
        <v>View</v>
      </c>
    </row>
    <row r="1562" spans="1:21" ht="40.799999999999997">
      <c r="A1562" s="6">
        <v>43439.679479166662</v>
      </c>
      <c r="B1562" s="7" t="str">
        <f>HYPERLINK("https://twitter.com/migupelo2","@migupelo2")</f>
        <v>@migupelo2</v>
      </c>
      <c r="C1562" s="8" t="s">
        <v>907</v>
      </c>
      <c r="D1562" s="9" t="s">
        <v>5194</v>
      </c>
      <c r="E1562" s="10" t="str">
        <f>HYPERLINK("https://twitter.com/migupelo2/status/1070336608166129664","1070336608166129664")</f>
        <v>1070336608166129664</v>
      </c>
      <c r="F1562" s="13" t="s">
        <v>5195</v>
      </c>
      <c r="G1562" s="11"/>
      <c r="H1562" s="11"/>
      <c r="I1562" s="14">
        <v>0</v>
      </c>
      <c r="J1562" s="14">
        <v>0</v>
      </c>
      <c r="K1562" s="15" t="str">
        <f t="shared" si="315"/>
        <v>Twitter Web Client</v>
      </c>
      <c r="L1562" s="14">
        <v>266</v>
      </c>
      <c r="M1562" s="14">
        <v>771</v>
      </c>
      <c r="N1562" s="14">
        <v>18</v>
      </c>
      <c r="O1562" s="16"/>
      <c r="P1562" s="6">
        <v>40477.868043981478</v>
      </c>
      <c r="Q1562" s="11"/>
      <c r="R1562" s="17" t="s">
        <v>914</v>
      </c>
      <c r="S1562" s="11"/>
      <c r="T1562" s="11"/>
      <c r="U1562" s="10" t="str">
        <f>HYPERLINK("https://pbs.twimg.com/profile_images/2906316440/4ed1570f50fd6f70f1b28d458997dd81.jpeg","View")</f>
        <v>View</v>
      </c>
    </row>
    <row r="1563" spans="1:21" ht="20.399999999999999">
      <c r="A1563" s="6">
        <v>43439.677777777775</v>
      </c>
      <c r="B1563" s="7" t="str">
        <f>HYPERLINK("https://twitter.com/NUET","@NUET")</f>
        <v>@NUET</v>
      </c>
      <c r="C1563" s="8" t="s">
        <v>6291</v>
      </c>
      <c r="D1563" s="9" t="s">
        <v>6292</v>
      </c>
      <c r="E1563" s="10" t="str">
        <f>HYPERLINK("https://twitter.com/NUET/status/1070335991234347008","1070335991234347008")</f>
        <v>1070335991234347008</v>
      </c>
      <c r="F1563" s="13" t="s">
        <v>4089</v>
      </c>
      <c r="G1563" s="11"/>
      <c r="H1563" s="11"/>
      <c r="I1563" s="14">
        <v>5</v>
      </c>
      <c r="J1563" s="14">
        <v>1</v>
      </c>
      <c r="K1563" s="15" t="str">
        <f>HYPERLINK("http://twitter.com/download/iphone","Twitter for iPhone")</f>
        <v>Twitter for iPhone</v>
      </c>
      <c r="L1563" s="14">
        <v>22186</v>
      </c>
      <c r="M1563" s="14">
        <v>2940</v>
      </c>
      <c r="N1563" s="14">
        <v>418</v>
      </c>
      <c r="O1563" s="16"/>
      <c r="P1563" s="6">
        <v>39758.004328703704</v>
      </c>
      <c r="Q1563" s="12" t="s">
        <v>6295</v>
      </c>
      <c r="R1563" s="17" t="s">
        <v>6296</v>
      </c>
      <c r="S1563" s="13" t="s">
        <v>6297</v>
      </c>
      <c r="T1563" s="11"/>
      <c r="U1563" s="10" t="str">
        <f>HYPERLINK("https://pbs.twimg.com/profile_images/1009916136643874816/92OSOaS9.jpg","View")</f>
        <v>View</v>
      </c>
    </row>
    <row r="1564" spans="1:21" ht="40.799999999999997">
      <c r="A1564" s="6">
        <v>43439.677546296298</v>
      </c>
      <c r="B1564" s="7" t="str">
        <f>HYPERLINK("https://twitter.com/RosaRodaNews","@RosaRodaNews")</f>
        <v>@RosaRodaNews</v>
      </c>
      <c r="C1564" s="8" t="s">
        <v>6300</v>
      </c>
      <c r="D1564" s="9" t="s">
        <v>6301</v>
      </c>
      <c r="E1564" s="10" t="str">
        <f>HYPERLINK("https://twitter.com/RosaRodaNews/status/1070335904638734337","1070335904638734337")</f>
        <v>1070335904638734337</v>
      </c>
      <c r="F1564" s="11"/>
      <c r="G1564" s="11"/>
      <c r="H1564" s="11"/>
      <c r="I1564" s="14">
        <v>3</v>
      </c>
      <c r="J1564" s="14">
        <v>2</v>
      </c>
      <c r="K1564" s="15" t="str">
        <f>HYPERLINK("http://twitter.com/#!/download/ipad","Twitter for iPad")</f>
        <v>Twitter for iPad</v>
      </c>
      <c r="L1564" s="14">
        <v>5723</v>
      </c>
      <c r="M1564" s="14">
        <v>1622</v>
      </c>
      <c r="N1564" s="14">
        <v>134</v>
      </c>
      <c r="O1564" s="16"/>
      <c r="P1564" s="6">
        <v>41016.436041666668</v>
      </c>
      <c r="Q1564" s="12" t="s">
        <v>6306</v>
      </c>
      <c r="R1564" s="17" t="s">
        <v>6307</v>
      </c>
      <c r="S1564" s="11"/>
      <c r="T1564" s="11"/>
      <c r="U1564" s="10" t="str">
        <f>HYPERLINK("https://pbs.twimg.com/profile_images/2167319067/images.jpeg","View")</f>
        <v>View</v>
      </c>
    </row>
    <row r="1565" spans="1:21" ht="30.6">
      <c r="A1565" s="6">
        <v>43439.677233796298</v>
      </c>
      <c r="B1565" s="7" t="str">
        <f>HYPERLINK("https://twitter.com/DiarioSUR","@DiarioSUR")</f>
        <v>@DiarioSUR</v>
      </c>
      <c r="C1565" s="8" t="s">
        <v>5196</v>
      </c>
      <c r="D1565" s="9" t="s">
        <v>5197</v>
      </c>
      <c r="E1565" s="10" t="str">
        <f>HYPERLINK("https://twitter.com/DiarioSUR/status/1070335793288368131","1070335793288368131")</f>
        <v>1070335793288368131</v>
      </c>
      <c r="F1565" s="13" t="s">
        <v>5198</v>
      </c>
      <c r="G1565" s="11"/>
      <c r="H1565" s="11"/>
      <c r="I1565" s="14">
        <v>2</v>
      </c>
      <c r="J1565" s="14">
        <v>3</v>
      </c>
      <c r="K1565" s="15" t="str">
        <f>HYPERLINK("http://twitter.com","Twitter Web Client")</f>
        <v>Twitter Web Client</v>
      </c>
      <c r="L1565" s="14">
        <v>252147</v>
      </c>
      <c r="M1565" s="14">
        <v>6689</v>
      </c>
      <c r="N1565" s="14">
        <v>2054</v>
      </c>
      <c r="O1565" s="19" t="s">
        <v>42</v>
      </c>
      <c r="P1565" s="6">
        <v>39853.755590277782</v>
      </c>
      <c r="Q1565" s="12" t="s">
        <v>298</v>
      </c>
      <c r="R1565" s="17" t="s">
        <v>5199</v>
      </c>
      <c r="S1565" s="13" t="s">
        <v>5200</v>
      </c>
      <c r="T1565" s="11"/>
      <c r="U1565" s="10" t="str">
        <f>HYPERLINK("https://pbs.twimg.com/profile_images/1066856110760648704/bTjnkmUL.jpg","View")</f>
        <v>View</v>
      </c>
    </row>
    <row r="1566" spans="1:21" ht="81.599999999999994">
      <c r="A1566" s="6">
        <v>43439.677094907413</v>
      </c>
      <c r="B1566" s="7" t="str">
        <f>HYPERLINK("https://twitter.com/CastilianWoman","@CastilianWoman")</f>
        <v>@CastilianWoman</v>
      </c>
      <c r="C1566" s="8" t="s">
        <v>6312</v>
      </c>
      <c r="D1566" s="9" t="s">
        <v>6313</v>
      </c>
      <c r="E1566" s="10" t="str">
        <f>HYPERLINK("https://twitter.com/CastilianWoman/status/1070335742617051136","1070335742617051136")</f>
        <v>1070335742617051136</v>
      </c>
      <c r="F1566" s="12" t="s">
        <v>6316</v>
      </c>
      <c r="G1566" s="11"/>
      <c r="H1566" s="11"/>
      <c r="I1566" s="14">
        <v>1</v>
      </c>
      <c r="J1566" s="14">
        <v>1</v>
      </c>
      <c r="K1566" s="15" t="str">
        <f>HYPERLINK("http://twitter.com/download/iphone","Twitter for iPhone")</f>
        <v>Twitter for iPhone</v>
      </c>
      <c r="L1566" s="14">
        <v>2430</v>
      </c>
      <c r="M1566" s="14">
        <v>4075</v>
      </c>
      <c r="N1566" s="14">
        <v>23</v>
      </c>
      <c r="O1566" s="16"/>
      <c r="P1566" s="6">
        <v>42595.671261574069</v>
      </c>
      <c r="Q1566" s="12" t="s">
        <v>6317</v>
      </c>
      <c r="R1566" s="17" t="s">
        <v>6318</v>
      </c>
      <c r="S1566" s="11"/>
      <c r="T1566" s="11"/>
      <c r="U1566" s="10" t="str">
        <f>HYPERLINK("https://pbs.twimg.com/profile_images/927908445357002752/7Zlsd7X9.jpg","View")</f>
        <v>View</v>
      </c>
    </row>
    <row r="1567" spans="1:21" ht="51">
      <c r="A1567" s="6">
        <v>43439.676701388889</v>
      </c>
      <c r="B1567" s="7" t="str">
        <f>HYPERLINK("https://twitter.com/JuanUsategui","@JuanUsategui")</f>
        <v>@JuanUsategui</v>
      </c>
      <c r="C1567" s="8" t="s">
        <v>4160</v>
      </c>
      <c r="D1567" s="9" t="s">
        <v>6321</v>
      </c>
      <c r="E1567" s="10" t="str">
        <f>HYPERLINK("https://twitter.com/JuanUsategui/status/1070335599456985091","1070335599456985091")</f>
        <v>1070335599456985091</v>
      </c>
      <c r="F1567" s="11"/>
      <c r="G1567" s="11"/>
      <c r="H1567" s="11"/>
      <c r="I1567" s="14">
        <v>0</v>
      </c>
      <c r="J1567" s="14">
        <v>0</v>
      </c>
      <c r="K1567" s="15" t="str">
        <f>HYPERLINK("http://twitter.com/#!/download/ipad","Twitter for iPad")</f>
        <v>Twitter for iPad</v>
      </c>
      <c r="L1567" s="14">
        <v>228</v>
      </c>
      <c r="M1567" s="14">
        <v>667</v>
      </c>
      <c r="N1567" s="14">
        <v>0</v>
      </c>
      <c r="O1567" s="16"/>
      <c r="P1567" s="6">
        <v>42428.040138888886</v>
      </c>
      <c r="Q1567" s="12" t="s">
        <v>508</v>
      </c>
      <c r="R1567" s="17" t="s">
        <v>4162</v>
      </c>
      <c r="S1567" s="11"/>
      <c r="T1567" s="11"/>
      <c r="U1567" s="10" t="str">
        <f>HYPERLINK("https://pbs.twimg.com/profile_images/704070459042762752/SxNaT3nk.jpg","View")</f>
        <v>View</v>
      </c>
    </row>
    <row r="1568" spans="1:21" ht="71.400000000000006">
      <c r="A1568" s="6">
        <v>43439.676192129627</v>
      </c>
      <c r="B1568" s="7" t="str">
        <f>HYPERLINK("https://twitter.com/scaramouche2013","@scaramouche2013")</f>
        <v>@scaramouche2013</v>
      </c>
      <c r="C1568" s="8" t="s">
        <v>5201</v>
      </c>
      <c r="D1568" s="9" t="s">
        <v>5202</v>
      </c>
      <c r="E1568" s="10" t="str">
        <f>HYPERLINK("https://twitter.com/scaramouche2013/status/1070335414853087232","1070335414853087232")</f>
        <v>1070335414853087232</v>
      </c>
      <c r="F1568" s="12" t="s">
        <v>3486</v>
      </c>
      <c r="G1568" s="11"/>
      <c r="H1568" s="11"/>
      <c r="I1568" s="14">
        <v>2</v>
      </c>
      <c r="J1568" s="14">
        <v>0</v>
      </c>
      <c r="K1568" s="15" t="str">
        <f>HYPERLINK("http://twitter.com","Twitter Web Client")</f>
        <v>Twitter Web Client</v>
      </c>
      <c r="L1568" s="14">
        <v>1995</v>
      </c>
      <c r="M1568" s="14">
        <v>1972</v>
      </c>
      <c r="N1568" s="14">
        <v>35</v>
      </c>
      <c r="O1568" s="16"/>
      <c r="P1568" s="6">
        <v>41350.544687499998</v>
      </c>
      <c r="Q1568" s="12" t="s">
        <v>5205</v>
      </c>
      <c r="R1568" s="17" t="s">
        <v>5206</v>
      </c>
      <c r="S1568" s="11"/>
      <c r="T1568" s="11"/>
      <c r="U1568" s="10" t="str">
        <f>HYPERLINK("https://pbs.twimg.com/profile_images/981712693290823682/0DqxEzmA.jpg","View")</f>
        <v>View</v>
      </c>
    </row>
    <row r="1569" spans="1:21" ht="51">
      <c r="A1569" s="6">
        <v>43439.675497685181</v>
      </c>
      <c r="B1569" s="7" t="str">
        <f>HYPERLINK("https://twitter.com/JubeirC","@JubeirC")</f>
        <v>@JubeirC</v>
      </c>
      <c r="C1569" s="8" t="s">
        <v>1788</v>
      </c>
      <c r="D1569" s="9" t="s">
        <v>5212</v>
      </c>
      <c r="E1569" s="10" t="str">
        <f>HYPERLINK("https://twitter.com/JubeirC/status/1070335164549656576","1070335164549656576")</f>
        <v>1070335164549656576</v>
      </c>
      <c r="F1569" s="13" t="s">
        <v>5213</v>
      </c>
      <c r="G1569" s="11"/>
      <c r="H1569" s="11"/>
      <c r="I1569" s="14">
        <v>0</v>
      </c>
      <c r="J1569" s="14">
        <v>0</v>
      </c>
      <c r="K1569" s="15" t="str">
        <f t="shared" ref="K1569:K1570" si="316">HYPERLINK("http://twitter.com/download/android","Twitter for Android")</f>
        <v>Twitter for Android</v>
      </c>
      <c r="L1569" s="14">
        <v>90</v>
      </c>
      <c r="M1569" s="14">
        <v>168</v>
      </c>
      <c r="N1569" s="14">
        <v>0</v>
      </c>
      <c r="O1569" s="16"/>
      <c r="P1569" s="6">
        <v>43418.45893518519</v>
      </c>
      <c r="Q1569" s="12" t="s">
        <v>60</v>
      </c>
      <c r="R1569" s="17" t="s">
        <v>1792</v>
      </c>
      <c r="S1569" s="11"/>
      <c r="T1569" s="11"/>
      <c r="U1569" s="10" t="str">
        <f>HYPERLINK("https://pbs.twimg.com/profile_images/1067561859199447040/oZtzCzck.jpg","View")</f>
        <v>View</v>
      </c>
    </row>
    <row r="1570" spans="1:21" ht="30.6">
      <c r="A1570" s="6">
        <v>43439.675497685181</v>
      </c>
      <c r="B1570" s="7" t="str">
        <f>HYPERLINK("https://twitter.com/TomasFe14020511","@TomasFe14020511")</f>
        <v>@TomasFe14020511</v>
      </c>
      <c r="C1570" s="8" t="s">
        <v>5217</v>
      </c>
      <c r="D1570" s="9" t="s">
        <v>5218</v>
      </c>
      <c r="E1570" s="10" t="str">
        <f>HYPERLINK("https://twitter.com/TomasFe14020511/status/1070335163832434688","1070335163832434688")</f>
        <v>1070335163832434688</v>
      </c>
      <c r="F1570" s="13" t="s">
        <v>1838</v>
      </c>
      <c r="G1570" s="11"/>
      <c r="H1570" s="11"/>
      <c r="I1570" s="14">
        <v>0</v>
      </c>
      <c r="J1570" s="14">
        <v>0</v>
      </c>
      <c r="K1570" s="15" t="str">
        <f t="shared" si="316"/>
        <v>Twitter for Android</v>
      </c>
      <c r="L1570" s="14">
        <v>1351</v>
      </c>
      <c r="M1570" s="14">
        <v>1344</v>
      </c>
      <c r="N1570" s="14">
        <v>5</v>
      </c>
      <c r="O1570" s="16"/>
      <c r="P1570" s="6">
        <v>43049.337407407409</v>
      </c>
      <c r="Q1570" s="12" t="s">
        <v>5220</v>
      </c>
      <c r="R1570" s="17" t="s">
        <v>5221</v>
      </c>
      <c r="S1570" s="11"/>
      <c r="T1570" s="11"/>
      <c r="U1570" s="10" t="str">
        <f>HYPERLINK("https://pbs.twimg.com/profile_images/991457940627447813/C8Mm4Yiy.jpg","View")</f>
        <v>View</v>
      </c>
    </row>
    <row r="1571" spans="1:21" ht="51">
      <c r="A1571" s="6">
        <v>43439.675381944442</v>
      </c>
      <c r="B1571" s="7" t="str">
        <f>HYPERLINK("https://twitter.com/Albert_Rivera","@Albert_Rivera")</f>
        <v>@Albert_Rivera</v>
      </c>
      <c r="C1571" s="8" t="s">
        <v>443</v>
      </c>
      <c r="D1571" s="9" t="s">
        <v>6339</v>
      </c>
      <c r="E1571" s="10" t="str">
        <f>HYPERLINK("https://twitter.com/Albert_Rivera/status/1070335119494471680","1070335119494471680")</f>
        <v>1070335119494471680</v>
      </c>
      <c r="F1571" s="13" t="s">
        <v>2349</v>
      </c>
      <c r="G1571" s="11"/>
      <c r="H1571" s="11"/>
      <c r="I1571" s="14">
        <v>361</v>
      </c>
      <c r="J1571" s="14">
        <v>688</v>
      </c>
      <c r="K1571" s="15" t="str">
        <f>HYPERLINK("http://twitter.com/download/iphone","Twitter for iPhone")</f>
        <v>Twitter for iPhone</v>
      </c>
      <c r="L1571" s="14">
        <v>1075808</v>
      </c>
      <c r="M1571" s="14">
        <v>2547</v>
      </c>
      <c r="N1571" s="14">
        <v>5114</v>
      </c>
      <c r="O1571" s="19" t="s">
        <v>42</v>
      </c>
      <c r="P1571" s="6">
        <v>40205.748171296298</v>
      </c>
      <c r="Q1571" s="12" t="s">
        <v>137</v>
      </c>
      <c r="R1571" s="17" t="s">
        <v>450</v>
      </c>
      <c r="S1571" s="13" t="s">
        <v>452</v>
      </c>
      <c r="T1571" s="11"/>
      <c r="U1571" s="10" t="str">
        <f>HYPERLINK("https://pbs.twimg.com/profile_images/1030708936779988993/RncDM4EZ.jpg","View")</f>
        <v>View</v>
      </c>
    </row>
    <row r="1572" spans="1:21" ht="40.799999999999997">
      <c r="A1572" s="6">
        <v>43439.674097222218</v>
      </c>
      <c r="B1572" s="7" t="str">
        <f>HYPERLINK("https://twitter.com/antigilis","@antigilis")</f>
        <v>@antigilis</v>
      </c>
      <c r="C1572" s="8" t="s">
        <v>6344</v>
      </c>
      <c r="D1572" s="9" t="s">
        <v>4065</v>
      </c>
      <c r="E1572" s="10" t="str">
        <f>HYPERLINK("https://twitter.com/antigilis/status/1070334656220942338","1070334656220942338")</f>
        <v>1070334656220942338</v>
      </c>
      <c r="F1572" s="13" t="s">
        <v>3869</v>
      </c>
      <c r="G1572" s="11"/>
      <c r="H1572" s="11"/>
      <c r="I1572" s="14">
        <v>3</v>
      </c>
      <c r="J1572" s="14">
        <v>7</v>
      </c>
      <c r="K1572" s="15" t="str">
        <f>HYPERLINK("http://twitter.com","Twitter Web Client")</f>
        <v>Twitter Web Client</v>
      </c>
      <c r="L1572" s="14">
        <v>2192</v>
      </c>
      <c r="M1572" s="14">
        <v>3317</v>
      </c>
      <c r="N1572" s="14">
        <v>7</v>
      </c>
      <c r="O1572" s="16"/>
      <c r="P1572" s="6">
        <v>42785.648877314816</v>
      </c>
      <c r="Q1572" s="12" t="s">
        <v>6349</v>
      </c>
      <c r="R1572" s="17" t="s">
        <v>6350</v>
      </c>
      <c r="S1572" s="11"/>
      <c r="T1572" s="11"/>
      <c r="U1572" s="10" t="str">
        <f>HYPERLINK("https://pbs.twimg.com/profile_images/1070266875156856834/x3bN30H_.jpg","View")</f>
        <v>View</v>
      </c>
    </row>
    <row r="1573" spans="1:21" ht="51">
      <c r="A1573" s="6">
        <v>43439.673657407402</v>
      </c>
      <c r="B1573" s="7" t="str">
        <f>HYPERLINK("https://twitter.com/conJavierLosada","@conJavierLosada")</f>
        <v>@conJavierLosada</v>
      </c>
      <c r="C1573" s="8" t="s">
        <v>5223</v>
      </c>
      <c r="D1573" s="9" t="s">
        <v>5224</v>
      </c>
      <c r="E1573" s="10" t="str">
        <f>HYPERLINK("https://twitter.com/conJavierLosada/status/1070334497307197440","1070334497307197440")</f>
        <v>1070334497307197440</v>
      </c>
      <c r="F1573" s="11"/>
      <c r="G1573" s="11"/>
      <c r="H1573" s="11"/>
      <c r="I1573" s="14">
        <v>4</v>
      </c>
      <c r="J1573" s="14">
        <v>3</v>
      </c>
      <c r="K1573" s="15" t="str">
        <f>HYPERLINK("http://twitter.com/#!/download/ipad","Twitter for iPad")</f>
        <v>Twitter for iPad</v>
      </c>
      <c r="L1573" s="14">
        <v>3435</v>
      </c>
      <c r="M1573" s="14">
        <v>1933</v>
      </c>
      <c r="N1573" s="14">
        <v>79</v>
      </c>
      <c r="O1573" s="16"/>
      <c r="P1573" s="6">
        <v>40830.970370370371</v>
      </c>
      <c r="Q1573" s="11"/>
      <c r="R1573" s="17" t="s">
        <v>5225</v>
      </c>
      <c r="S1573" s="11"/>
      <c r="T1573" s="11"/>
      <c r="U1573" s="10" t="str">
        <f>HYPERLINK("https://pbs.twimg.com/profile_images/1058739874554109952/v--DaZxy.jpg","View")</f>
        <v>View</v>
      </c>
    </row>
    <row r="1574" spans="1:21" ht="30.6">
      <c r="A1574" s="6">
        <v>43439.67322916667</v>
      </c>
      <c r="B1574" s="7" t="str">
        <f>HYPERLINK("https://twitter.com/FcoCP96","@FcoCP96")</f>
        <v>@FcoCP96</v>
      </c>
      <c r="C1574" s="8" t="s">
        <v>6358</v>
      </c>
      <c r="D1574" s="9" t="s">
        <v>6359</v>
      </c>
      <c r="E1574" s="10" t="str">
        <f>HYPERLINK("https://twitter.com/FcoCP96/status/1070334343451693058","1070334343451693058")</f>
        <v>1070334343451693058</v>
      </c>
      <c r="F1574" s="11"/>
      <c r="G1574" s="11"/>
      <c r="H1574" s="11"/>
      <c r="I1574" s="14">
        <v>0</v>
      </c>
      <c r="J1574" s="14">
        <v>11</v>
      </c>
      <c r="K1574" s="15" t="str">
        <f>HYPERLINK("http://twitter.com/download/android","Twitter for Android")</f>
        <v>Twitter for Android</v>
      </c>
      <c r="L1574" s="14">
        <v>1342</v>
      </c>
      <c r="M1574" s="14">
        <v>1241</v>
      </c>
      <c r="N1574" s="14">
        <v>18</v>
      </c>
      <c r="O1574" s="16"/>
      <c r="P1574" s="6">
        <v>41118.667488425926</v>
      </c>
      <c r="Q1574" s="12" t="s">
        <v>137</v>
      </c>
      <c r="R1574" s="17" t="s">
        <v>6360</v>
      </c>
      <c r="S1574" s="13" t="s">
        <v>6361</v>
      </c>
      <c r="T1574" s="11"/>
      <c r="U1574" s="10" t="str">
        <f>HYPERLINK("https://pbs.twimg.com/profile_images/1028983085998792704/b7-zq1X9.jpg","View")</f>
        <v>View</v>
      </c>
    </row>
    <row r="1575" spans="1:21" ht="71.400000000000006">
      <c r="A1575" s="6">
        <v>43439.672777777778</v>
      </c>
      <c r="B1575" s="7" t="str">
        <f>HYPERLINK("https://twitter.com/rivalta_danilo","@rivalta_danilo")</f>
        <v>@rivalta_danilo</v>
      </c>
      <c r="C1575" s="8" t="s">
        <v>5226</v>
      </c>
      <c r="D1575" s="9" t="s">
        <v>5227</v>
      </c>
      <c r="E1575" s="10" t="str">
        <f>HYPERLINK("https://twitter.com/rivalta_danilo/status/1070334178158395392","1070334178158395392")</f>
        <v>1070334178158395392</v>
      </c>
      <c r="F1575" s="12" t="s">
        <v>5228</v>
      </c>
      <c r="G1575" s="11"/>
      <c r="H1575" s="11"/>
      <c r="I1575" s="14">
        <v>0</v>
      </c>
      <c r="J1575" s="14">
        <v>0</v>
      </c>
      <c r="K1575" s="15" t="str">
        <f>HYPERLINK("http://twitter.com/download/iphone","Twitter for iPhone")</f>
        <v>Twitter for iPhone</v>
      </c>
      <c r="L1575" s="14">
        <v>841</v>
      </c>
      <c r="M1575" s="14">
        <v>1274</v>
      </c>
      <c r="N1575" s="14">
        <v>33</v>
      </c>
      <c r="O1575" s="16"/>
      <c r="P1575" s="6">
        <v>41593.512569444443</v>
      </c>
      <c r="Q1575" s="12" t="s">
        <v>5229</v>
      </c>
      <c r="R1575" s="17" t="s">
        <v>5230</v>
      </c>
      <c r="S1575" s="13" t="s">
        <v>5231</v>
      </c>
      <c r="T1575" s="11"/>
      <c r="U1575" s="10" t="str">
        <f>HYPERLINK("https://pbs.twimg.com/profile_images/1017515274193588225/6nSU1DLN.jpg","View")</f>
        <v>View</v>
      </c>
    </row>
    <row r="1576" spans="1:21" ht="51">
      <c r="A1576" s="6">
        <v>43439.6721412037</v>
      </c>
      <c r="B1576" s="7" t="str">
        <f>HYPERLINK("https://twitter.com/LaVozdeCasandra","@LaVozdeCasandra")</f>
        <v>@LaVozdeCasandra</v>
      </c>
      <c r="C1576" s="8" t="s">
        <v>5234</v>
      </c>
      <c r="D1576" s="9" t="s">
        <v>5235</v>
      </c>
      <c r="E1576" s="10" t="str">
        <f>HYPERLINK("https://twitter.com/LaVozdeCasandra/status/1070333947492663296","1070333947492663296")</f>
        <v>1070333947492663296</v>
      </c>
      <c r="F1576" s="12" t="s">
        <v>5236</v>
      </c>
      <c r="G1576" s="11"/>
      <c r="H1576" s="11"/>
      <c r="I1576" s="14">
        <v>1</v>
      </c>
      <c r="J1576" s="14">
        <v>1</v>
      </c>
      <c r="K1576" s="15" t="str">
        <f>HYPERLINK("http://twitter.com/download/android","Twitter for Android")</f>
        <v>Twitter for Android</v>
      </c>
      <c r="L1576" s="14">
        <v>2996</v>
      </c>
      <c r="M1576" s="14">
        <v>4378</v>
      </c>
      <c r="N1576" s="14">
        <v>36</v>
      </c>
      <c r="O1576" s="16"/>
      <c r="P1576" s="6">
        <v>40869.776712962965</v>
      </c>
      <c r="Q1576" s="11"/>
      <c r="R1576" s="17" t="s">
        <v>5237</v>
      </c>
      <c r="S1576" s="11"/>
      <c r="T1576" s="11"/>
      <c r="U1576" s="10" t="str">
        <f>HYPERLINK("https://pbs.twimg.com/profile_images/1057718656757628930/Bk1-ksgE.jpg","View")</f>
        <v>View</v>
      </c>
    </row>
    <row r="1577" spans="1:21" ht="51">
      <c r="A1577" s="6">
        <v>43439.671550925923</v>
      </c>
      <c r="B1577" s="7" t="str">
        <f>HYPERLINK("https://twitter.com/scrats_regantes","@scrats_regantes")</f>
        <v>@scrats_regantes</v>
      </c>
      <c r="C1577" s="8" t="s">
        <v>5241</v>
      </c>
      <c r="D1577" s="9" t="s">
        <v>5242</v>
      </c>
      <c r="E1577" s="10" t="str">
        <f>HYPERLINK("https://twitter.com/scrats_regantes/status/1070333735135047680","1070333735135047680")</f>
        <v>1070333735135047680</v>
      </c>
      <c r="F1577" s="11"/>
      <c r="G1577" s="13" t="s">
        <v>5244</v>
      </c>
      <c r="H1577" s="11"/>
      <c r="I1577" s="14">
        <v>3</v>
      </c>
      <c r="J1577" s="14">
        <v>1</v>
      </c>
      <c r="K1577" s="15" t="str">
        <f>HYPERLINK("http://twitter.com","Twitter Web Client")</f>
        <v>Twitter Web Client</v>
      </c>
      <c r="L1577" s="14">
        <v>2331</v>
      </c>
      <c r="M1577" s="14">
        <v>2056</v>
      </c>
      <c r="N1577" s="14">
        <v>41</v>
      </c>
      <c r="O1577" s="16"/>
      <c r="P1577" s="6">
        <v>41192.820393518516</v>
      </c>
      <c r="Q1577" s="12" t="s">
        <v>3245</v>
      </c>
      <c r="R1577" s="17" t="s">
        <v>5247</v>
      </c>
      <c r="S1577" s="13" t="s">
        <v>5248</v>
      </c>
      <c r="T1577" s="11"/>
      <c r="U1577" s="10" t="str">
        <f>HYPERLINK("https://pbs.twimg.com/profile_images/450525701569933312/ic6s1SQE.jpeg","View")</f>
        <v>View</v>
      </c>
    </row>
    <row r="1578" spans="1:21" ht="40.799999999999997">
      <c r="A1578" s="6">
        <v>43439.671226851853</v>
      </c>
      <c r="B1578" s="7" t="str">
        <f>HYPERLINK("https://twitter.com/Salva_Escudero","@Salva_Escudero")</f>
        <v>@Salva_Escudero</v>
      </c>
      <c r="C1578" s="8" t="s">
        <v>6368</v>
      </c>
      <c r="D1578" s="9" t="s">
        <v>6369</v>
      </c>
      <c r="E1578" s="10" t="str">
        <f>HYPERLINK("https://twitter.com/Salva_Escudero/status/1070333616285237248","1070333616285237248")</f>
        <v>1070333616285237248</v>
      </c>
      <c r="F1578" s="13" t="s">
        <v>6370</v>
      </c>
      <c r="G1578" s="11"/>
      <c r="H1578" s="11"/>
      <c r="I1578" s="14">
        <v>0</v>
      </c>
      <c r="J1578" s="14">
        <v>0</v>
      </c>
      <c r="K1578" s="15" t="str">
        <f>HYPERLINK("http://twitter.com/download/android","Twitter for Android")</f>
        <v>Twitter for Android</v>
      </c>
      <c r="L1578" s="14">
        <v>10832</v>
      </c>
      <c r="M1578" s="14">
        <v>6868</v>
      </c>
      <c r="N1578" s="14">
        <v>109</v>
      </c>
      <c r="O1578" s="16"/>
      <c r="P1578" s="6">
        <v>41141.672743055555</v>
      </c>
      <c r="Q1578" s="12" t="s">
        <v>6373</v>
      </c>
      <c r="R1578" s="17" t="s">
        <v>6374</v>
      </c>
      <c r="S1578" s="13" t="s">
        <v>6375</v>
      </c>
      <c r="T1578" s="11"/>
      <c r="U1578" s="10" t="str">
        <f>HYPERLINK("https://pbs.twimg.com/profile_images/579803217686601728/2c7qay05.jpg","View")</f>
        <v>View</v>
      </c>
    </row>
    <row r="1579" spans="1:21" ht="40.799999999999997">
      <c r="A1579" s="6">
        <v>43439.669224537036</v>
      </c>
      <c r="B1579" s="7" t="str">
        <f>HYPERLINK("https://twitter.com/europapress_tv","@europapress_tv")</f>
        <v>@europapress_tv</v>
      </c>
      <c r="C1579" s="8" t="s">
        <v>5251</v>
      </c>
      <c r="D1579" s="9" t="s">
        <v>5252</v>
      </c>
      <c r="E1579" s="10" t="str">
        <f>HYPERLINK("https://twitter.com/europapress_tv/status/1070332888183386113","1070332888183386113")</f>
        <v>1070332888183386113</v>
      </c>
      <c r="F1579" s="13" t="s">
        <v>5253</v>
      </c>
      <c r="G1579" s="13" t="s">
        <v>5254</v>
      </c>
      <c r="H1579" s="11"/>
      <c r="I1579" s="14">
        <v>0</v>
      </c>
      <c r="J1579" s="14">
        <v>0</v>
      </c>
      <c r="K1579" s="15" t="str">
        <f>HYPERLINK("https://studio.twitter.com","Twitter Media Studio")</f>
        <v>Twitter Media Studio</v>
      </c>
      <c r="L1579" s="14">
        <v>10491</v>
      </c>
      <c r="M1579" s="14">
        <v>447</v>
      </c>
      <c r="N1579" s="14">
        <v>233</v>
      </c>
      <c r="O1579" s="19" t="s">
        <v>42</v>
      </c>
      <c r="P1579" s="6">
        <v>41087.506342592591</v>
      </c>
      <c r="Q1579" s="12" t="s">
        <v>137</v>
      </c>
      <c r="R1579" s="17" t="s">
        <v>5255</v>
      </c>
      <c r="S1579" s="13" t="s">
        <v>5256</v>
      </c>
      <c r="T1579" s="11"/>
      <c r="U1579" s="10" t="str">
        <f>HYPERLINK("https://pbs.twimg.com/profile_images/520566141542887424/kS5nICev.jpeg","View")</f>
        <v>View</v>
      </c>
    </row>
    <row r="1580" spans="1:21" ht="51">
      <c r="A1580" s="6">
        <v>43439.66805555555</v>
      </c>
      <c r="B1580" s="7" t="str">
        <f>HYPERLINK("https://twitter.com/bitMomentum","@bitMomentum")</f>
        <v>@bitMomentum</v>
      </c>
      <c r="C1580" s="8" t="s">
        <v>1889</v>
      </c>
      <c r="D1580" s="9" t="s">
        <v>5258</v>
      </c>
      <c r="E1580" s="10" t="str">
        <f>HYPERLINK("https://twitter.com/bitMomentum/status/1070332465246560256","1070332465246560256")</f>
        <v>1070332465246560256</v>
      </c>
      <c r="F1580" s="11"/>
      <c r="G1580" s="11"/>
      <c r="H1580" s="11"/>
      <c r="I1580" s="14">
        <v>0</v>
      </c>
      <c r="J1580" s="14">
        <v>0</v>
      </c>
      <c r="K1580" s="15" t="str">
        <f>HYPERLINK("http://www.bitmomentum.com","bitMomentum Bot")</f>
        <v>bitMomentum Bot</v>
      </c>
      <c r="L1580" s="14">
        <v>10254</v>
      </c>
      <c r="M1580" s="14">
        <v>1059</v>
      </c>
      <c r="N1580" s="14">
        <v>263</v>
      </c>
      <c r="O1580" s="16"/>
      <c r="P1580" s="6">
        <v>41608.667511574073</v>
      </c>
      <c r="Q1580" s="11"/>
      <c r="R1580" s="17" t="s">
        <v>1897</v>
      </c>
      <c r="S1580" s="13" t="s">
        <v>1898</v>
      </c>
      <c r="T1580" s="11"/>
      <c r="U1580" s="10" t="str">
        <f>HYPERLINK("https://pbs.twimg.com/profile_images/378800000862185241/20ij2H3u.png","View")</f>
        <v>View</v>
      </c>
    </row>
    <row r="1581" spans="1:21" ht="61.2">
      <c r="A1581" s="6">
        <v>43439.667708333334</v>
      </c>
      <c r="B1581" s="7" t="str">
        <f>HYPERLINK("https://twitter.com/UlisesGamez10","@UlisesGamez10")</f>
        <v>@UlisesGamez10</v>
      </c>
      <c r="C1581" s="8" t="s">
        <v>3569</v>
      </c>
      <c r="D1581" s="9" t="s">
        <v>5259</v>
      </c>
      <c r="E1581" s="10" t="str">
        <f>HYPERLINK("https://twitter.com/UlisesGamez10/status/1070332341841813505","1070332341841813505")</f>
        <v>1070332341841813505</v>
      </c>
      <c r="F1581" s="11"/>
      <c r="G1581" s="11"/>
      <c r="H1581" s="11"/>
      <c r="I1581" s="14">
        <v>1</v>
      </c>
      <c r="J1581" s="14">
        <v>1</v>
      </c>
      <c r="K1581" s="15" t="str">
        <f>HYPERLINK("http://twitter.com/download/android","Twitter for Android")</f>
        <v>Twitter for Android</v>
      </c>
      <c r="L1581" s="14">
        <v>1184</v>
      </c>
      <c r="M1581" s="14">
        <v>5002</v>
      </c>
      <c r="N1581" s="14">
        <v>0</v>
      </c>
      <c r="O1581" s="16"/>
      <c r="P1581" s="6">
        <v>43190.59783564815</v>
      </c>
      <c r="Q1581" s="12" t="s">
        <v>3571</v>
      </c>
      <c r="R1581" s="17" t="s">
        <v>3572</v>
      </c>
      <c r="S1581" s="11"/>
      <c r="T1581" s="11"/>
      <c r="U1581" s="10" t="str">
        <f>HYPERLINK("https://pbs.twimg.com/profile_images/1068881444196499456/MCgxp2WR.jpg","View")</f>
        <v>View</v>
      </c>
    </row>
    <row r="1582" spans="1:21" ht="40.799999999999997">
      <c r="A1582" s="6">
        <v>43439.667546296296</v>
      </c>
      <c r="B1582" s="7" t="str">
        <f>HYPERLINK("https://twitter.com/Rosan_00","@Rosan_00")</f>
        <v>@Rosan_00</v>
      </c>
      <c r="C1582" s="8" t="s">
        <v>5260</v>
      </c>
      <c r="D1582" s="9" t="s">
        <v>5261</v>
      </c>
      <c r="E1582" s="10" t="str">
        <f>HYPERLINK("https://twitter.com/Rosan_00/status/1070332283125686272","1070332283125686272")</f>
        <v>1070332283125686272</v>
      </c>
      <c r="F1582" s="12" t="s">
        <v>3490</v>
      </c>
      <c r="G1582" s="11"/>
      <c r="H1582" s="11"/>
      <c r="I1582" s="14">
        <v>1</v>
      </c>
      <c r="J1582" s="14">
        <v>1</v>
      </c>
      <c r="K1582" s="15" t="str">
        <f>HYPERLINK("http://twitter.com/#!/download/ipad","Twitter for iPad")</f>
        <v>Twitter for iPad</v>
      </c>
      <c r="L1582" s="14">
        <v>69</v>
      </c>
      <c r="M1582" s="14">
        <v>84</v>
      </c>
      <c r="N1582" s="14">
        <v>0</v>
      </c>
      <c r="O1582" s="16"/>
      <c r="P1582" s="6">
        <v>40855.814953703702</v>
      </c>
      <c r="Q1582" s="12" t="s">
        <v>5262</v>
      </c>
      <c r="R1582" s="17" t="s">
        <v>5263</v>
      </c>
      <c r="S1582" s="11"/>
      <c r="T1582" s="11"/>
      <c r="U1582" s="10" t="str">
        <f>HYPERLINK("https://pbs.twimg.com/profile_images/1019603178931748864/dVw-wISv.jpg","View")</f>
        <v>View</v>
      </c>
    </row>
    <row r="1583" spans="1:21" ht="51">
      <c r="A1583" s="6">
        <v>43439.667361111111</v>
      </c>
      <c r="B1583" s="7" t="str">
        <f>HYPERLINK("https://twitter.com/bitMomentum","@bitMomentum")</f>
        <v>@bitMomentum</v>
      </c>
      <c r="C1583" s="8" t="s">
        <v>1889</v>
      </c>
      <c r="D1583" s="9" t="s">
        <v>5264</v>
      </c>
      <c r="E1583" s="10" t="str">
        <f>HYPERLINK("https://twitter.com/bitMomentum/status/1070332213621858304","1070332213621858304")</f>
        <v>1070332213621858304</v>
      </c>
      <c r="F1583" s="11"/>
      <c r="G1583" s="11"/>
      <c r="H1583" s="11"/>
      <c r="I1583" s="14">
        <v>0</v>
      </c>
      <c r="J1583" s="14">
        <v>0</v>
      </c>
      <c r="K1583" s="15" t="str">
        <f>HYPERLINK("http://www.bitmomentum.com","bitMomentum Bot")</f>
        <v>bitMomentum Bot</v>
      </c>
      <c r="L1583" s="14">
        <v>10254</v>
      </c>
      <c r="M1583" s="14">
        <v>1059</v>
      </c>
      <c r="N1583" s="14">
        <v>263</v>
      </c>
      <c r="O1583" s="16"/>
      <c r="P1583" s="6">
        <v>41608.667511574073</v>
      </c>
      <c r="Q1583" s="11"/>
      <c r="R1583" s="17" t="s">
        <v>1897</v>
      </c>
      <c r="S1583" s="13" t="s">
        <v>1898</v>
      </c>
      <c r="T1583" s="11"/>
      <c r="U1583" s="10" t="str">
        <f>HYPERLINK("https://pbs.twimg.com/profile_images/378800000862185241/20ij2H3u.png","View")</f>
        <v>View</v>
      </c>
    </row>
    <row r="1584" spans="1:21" ht="40.799999999999997">
      <c r="A1584" s="6">
        <v>43439.666851851856</v>
      </c>
      <c r="B1584" s="7" t="str">
        <f>HYPERLINK("https://twitter.com/lextresabogados","@lextresabogados")</f>
        <v>@lextresabogados</v>
      </c>
      <c r="C1584" s="8" t="s">
        <v>26</v>
      </c>
      <c r="D1584" s="9" t="s">
        <v>6389</v>
      </c>
      <c r="E1584" s="10" t="str">
        <f>HYPERLINK("https://twitter.com/lextresabogados/status/1070332028883746817","1070332028883746817")</f>
        <v>1070332028883746817</v>
      </c>
      <c r="F1584" s="13" t="s">
        <v>6390</v>
      </c>
      <c r="G1584" s="11"/>
      <c r="H1584" s="11"/>
      <c r="I1584" s="14">
        <v>0</v>
      </c>
      <c r="J1584" s="14">
        <v>0</v>
      </c>
      <c r="K1584" s="15" t="str">
        <f>HYPERLINK("http://35.180.36.179","botize nueva")</f>
        <v>botize nueva</v>
      </c>
      <c r="L1584" s="14">
        <v>2912</v>
      </c>
      <c r="M1584" s="14">
        <v>3525</v>
      </c>
      <c r="N1584" s="14">
        <v>26</v>
      </c>
      <c r="O1584" s="16"/>
      <c r="P1584" s="6">
        <v>42880.770949074074</v>
      </c>
      <c r="Q1584" s="12" t="s">
        <v>35</v>
      </c>
      <c r="R1584" s="17" t="s">
        <v>36</v>
      </c>
      <c r="S1584" s="13" t="s">
        <v>37</v>
      </c>
      <c r="T1584" s="11"/>
      <c r="U1584" s="10" t="str">
        <f>HYPERLINK("https://pbs.twimg.com/profile_images/1068056978679898113/YnjKwiVy.jpg","View")</f>
        <v>View</v>
      </c>
    </row>
    <row r="1585" spans="1:21" ht="40.799999999999997">
      <c r="A1585" s="6">
        <v>43439.666689814811</v>
      </c>
      <c r="B1585" s="7" t="str">
        <f>HYPERLINK("https://twitter.com/AndyPipkim","@AndyPipkim")</f>
        <v>@AndyPipkim</v>
      </c>
      <c r="C1585" s="8" t="s">
        <v>6393</v>
      </c>
      <c r="D1585" s="9" t="s">
        <v>6395</v>
      </c>
      <c r="E1585" s="10" t="str">
        <f>HYPERLINK("https://twitter.com/AndyPipkim/status/1070331970213867522","1070331970213867522")</f>
        <v>1070331970213867522</v>
      </c>
      <c r="F1585" s="12" t="s">
        <v>6396</v>
      </c>
      <c r="G1585" s="11"/>
      <c r="H1585" s="11"/>
      <c r="I1585" s="14">
        <v>0</v>
      </c>
      <c r="J1585" s="14">
        <v>0</v>
      </c>
      <c r="K1585" s="15" t="str">
        <f>HYPERLINK("http://twitter.com/download/android","Twitter for Android")</f>
        <v>Twitter for Android</v>
      </c>
      <c r="L1585" s="14">
        <v>30</v>
      </c>
      <c r="M1585" s="14">
        <v>154</v>
      </c>
      <c r="N1585" s="14">
        <v>1</v>
      </c>
      <c r="O1585" s="16"/>
      <c r="P1585" s="6">
        <v>41030.983090277776</v>
      </c>
      <c r="Q1585" s="11"/>
      <c r="R1585" s="17" t="s">
        <v>6397</v>
      </c>
      <c r="S1585" s="11"/>
      <c r="T1585" s="11"/>
      <c r="U1585" s="10" t="str">
        <f>HYPERLINK("https://pbs.twimg.com/profile_images/1070698014107422730/D8j0EZDw.jpg","View")</f>
        <v>View</v>
      </c>
    </row>
    <row r="1586" spans="1:21" ht="40.799999999999997">
      <c r="A1586" s="6">
        <v>43439.666412037041</v>
      </c>
      <c r="B1586" s="7" t="str">
        <f>HYPERLINK("https://twitter.com/enriquedediegov","@enriquedediegov")</f>
        <v>@enriquedediegov</v>
      </c>
      <c r="C1586" s="8" t="s">
        <v>5108</v>
      </c>
      <c r="D1586" s="9" t="s">
        <v>5109</v>
      </c>
      <c r="E1586" s="10" t="str">
        <f>HYPERLINK("https://twitter.com/enriquedediegov/status/1070331870129332224","1070331870129332224")</f>
        <v>1070331870129332224</v>
      </c>
      <c r="F1586" s="13" t="s">
        <v>6398</v>
      </c>
      <c r="G1586" s="11"/>
      <c r="H1586" s="11"/>
      <c r="I1586" s="14">
        <v>1</v>
      </c>
      <c r="J1586" s="14">
        <v>0</v>
      </c>
      <c r="K1586" s="15" t="str">
        <f t="shared" ref="K1586:K1587" si="317">HYPERLINK("http://twitter.com","Twitter Web Client")</f>
        <v>Twitter Web Client</v>
      </c>
      <c r="L1586" s="14">
        <v>7792</v>
      </c>
      <c r="M1586" s="14">
        <v>6053</v>
      </c>
      <c r="N1586" s="14">
        <v>179</v>
      </c>
      <c r="O1586" s="16"/>
      <c r="P1586" s="6">
        <v>41293.717129629629</v>
      </c>
      <c r="Q1586" s="12" t="s">
        <v>137</v>
      </c>
      <c r="R1586" s="17" t="s">
        <v>5113</v>
      </c>
      <c r="S1586" s="13" t="s">
        <v>5114</v>
      </c>
      <c r="T1586" s="11"/>
      <c r="U1586" s="10" t="str">
        <f>HYPERLINK("https://pbs.twimg.com/profile_images/3129623790/4ae197d01442e05dee4622297c3b9642.jpeg","View")</f>
        <v>View</v>
      </c>
    </row>
    <row r="1587" spans="1:21" ht="81.599999999999994">
      <c r="A1587" s="6">
        <v>43439.665173611109</v>
      </c>
      <c r="B1587" s="7" t="str">
        <f>HYPERLINK("https://twitter.com/josemalluis","@josemalluis")</f>
        <v>@josemalluis</v>
      </c>
      <c r="C1587" s="8" t="s">
        <v>6402</v>
      </c>
      <c r="D1587" s="9" t="s">
        <v>6403</v>
      </c>
      <c r="E1587" s="10" t="str">
        <f>HYPERLINK("https://twitter.com/josemalluis/status/1070331420453818368","1070331420453818368")</f>
        <v>1070331420453818368</v>
      </c>
      <c r="F1587" s="13" t="s">
        <v>6405</v>
      </c>
      <c r="G1587" s="13" t="s">
        <v>6406</v>
      </c>
      <c r="H1587" s="11"/>
      <c r="I1587" s="14">
        <v>0</v>
      </c>
      <c r="J1587" s="14">
        <v>0</v>
      </c>
      <c r="K1587" s="15" t="str">
        <f t="shared" si="317"/>
        <v>Twitter Web Client</v>
      </c>
      <c r="L1587" s="14">
        <v>269</v>
      </c>
      <c r="M1587" s="14">
        <v>481</v>
      </c>
      <c r="N1587" s="14">
        <v>5</v>
      </c>
      <c r="O1587" s="16"/>
      <c r="P1587" s="6">
        <v>41620.457812499997</v>
      </c>
      <c r="Q1587" s="11"/>
      <c r="R1587" s="17" t="s">
        <v>6407</v>
      </c>
      <c r="S1587" s="11"/>
      <c r="T1587" s="11"/>
      <c r="U1587" s="10" t="str">
        <f>HYPERLINK("https://pbs.twimg.com/profile_images/378800000861979390/-dNMXMY6.jpeg","View")</f>
        <v>View</v>
      </c>
    </row>
    <row r="1588" spans="1:21" ht="51">
      <c r="A1588" s="6">
        <v>43439.664756944447</v>
      </c>
      <c r="B1588" s="7" t="str">
        <f>HYPERLINK("https://twitter.com/SocialismoCivil","@SocialismoCivil")</f>
        <v>@SocialismoCivil</v>
      </c>
      <c r="C1588" s="8" t="s">
        <v>5267</v>
      </c>
      <c r="D1588" s="9" t="s">
        <v>5268</v>
      </c>
      <c r="E1588" s="10" t="str">
        <f>HYPERLINK("https://twitter.com/SocialismoCivil/status/1070331272441069569","1070331272441069569")</f>
        <v>1070331272441069569</v>
      </c>
      <c r="F1588" s="13" t="s">
        <v>4715</v>
      </c>
      <c r="G1588" s="11"/>
      <c r="H1588" s="11"/>
      <c r="I1588" s="14">
        <v>0</v>
      </c>
      <c r="J1588" s="14">
        <v>1</v>
      </c>
      <c r="K1588" s="15" t="str">
        <f>HYPERLINK("http://twitter.com/download/android","Twitter for Android")</f>
        <v>Twitter for Android</v>
      </c>
      <c r="L1588" s="14">
        <v>40</v>
      </c>
      <c r="M1588" s="14">
        <v>220</v>
      </c>
      <c r="N1588" s="14">
        <v>0</v>
      </c>
      <c r="O1588" s="16"/>
      <c r="P1588" s="6">
        <v>42979.957094907411</v>
      </c>
      <c r="Q1588" s="11"/>
      <c r="R1588" s="17" t="s">
        <v>5269</v>
      </c>
      <c r="S1588" s="11"/>
      <c r="T1588" s="11"/>
      <c r="U1588" s="10" t="str">
        <f>HYPERLINK("https://pbs.twimg.com/profile_images/903726755130822656/cddwKxp6.jpg","View")</f>
        <v>View</v>
      </c>
    </row>
    <row r="1589" spans="1:21" ht="30.6">
      <c r="A1589" s="6">
        <v>43439.664386574077</v>
      </c>
      <c r="B1589" s="7" t="str">
        <f>HYPERLINK("https://twitter.com/CSurNoticias","@CSurNoticias")</f>
        <v>@CSurNoticias</v>
      </c>
      <c r="C1589" s="8" t="s">
        <v>5789</v>
      </c>
      <c r="D1589" s="9" t="s">
        <v>6412</v>
      </c>
      <c r="E1589" s="10" t="str">
        <f>HYPERLINK("https://twitter.com/CSurNoticias/status/1070331136549752832","1070331136549752832")</f>
        <v>1070331136549752832</v>
      </c>
      <c r="F1589" s="13" t="s">
        <v>6413</v>
      </c>
      <c r="G1589" s="13" t="s">
        <v>6414</v>
      </c>
      <c r="H1589" s="11"/>
      <c r="I1589" s="14">
        <v>0</v>
      </c>
      <c r="J1589" s="14">
        <v>0</v>
      </c>
      <c r="K1589" s="15" t="str">
        <f>HYPERLINK("https://www.hootsuite.com","Hootsuite Inc.")</f>
        <v>Hootsuite Inc.</v>
      </c>
      <c r="L1589" s="14">
        <v>53215</v>
      </c>
      <c r="M1589" s="14">
        <v>232</v>
      </c>
      <c r="N1589" s="14">
        <v>890</v>
      </c>
      <c r="O1589" s="19" t="s">
        <v>42</v>
      </c>
      <c r="P1589" s="6">
        <v>39931.566990740743</v>
      </c>
      <c r="Q1589" s="12" t="s">
        <v>231</v>
      </c>
      <c r="R1589" s="17" t="s">
        <v>5794</v>
      </c>
      <c r="S1589" s="13" t="s">
        <v>5795</v>
      </c>
      <c r="T1589" s="11"/>
      <c r="U1589" s="10" t="str">
        <f>HYPERLINK("https://pbs.twimg.com/profile_images/1040565829119696896/5IRki3sL.jpg","View")</f>
        <v>View</v>
      </c>
    </row>
    <row r="1590" spans="1:21" ht="71.400000000000006">
      <c r="A1590" s="6">
        <v>43439.662627314814</v>
      </c>
      <c r="B1590" s="7" t="str">
        <f>HYPERLINK("https://twitter.com/JALONSOHISPANIA","@JALONSOHISPANIA")</f>
        <v>@JALONSOHISPANIA</v>
      </c>
      <c r="C1590" s="8" t="s">
        <v>5270</v>
      </c>
      <c r="D1590" s="9" t="s">
        <v>5272</v>
      </c>
      <c r="E1590" s="10" t="str">
        <f>HYPERLINK("https://twitter.com/JALONSOHISPANIA/status/1070330500995317761","1070330500995317761")</f>
        <v>1070330500995317761</v>
      </c>
      <c r="F1590" s="12" t="s">
        <v>5276</v>
      </c>
      <c r="G1590" s="11"/>
      <c r="H1590" s="11"/>
      <c r="I1590" s="14">
        <v>1</v>
      </c>
      <c r="J1590" s="14">
        <v>2</v>
      </c>
      <c r="K1590" s="15" t="str">
        <f>HYPERLINK("http://twitter.com","Twitter Web Client")</f>
        <v>Twitter Web Client</v>
      </c>
      <c r="L1590" s="14">
        <v>1643</v>
      </c>
      <c r="M1590" s="14">
        <v>4992</v>
      </c>
      <c r="N1590" s="14">
        <v>43</v>
      </c>
      <c r="O1590" s="16"/>
      <c r="P1590" s="6">
        <v>41641.957592592589</v>
      </c>
      <c r="Q1590" s="12" t="s">
        <v>5279</v>
      </c>
      <c r="R1590" s="17" t="s">
        <v>5280</v>
      </c>
      <c r="S1590" s="11"/>
      <c r="T1590" s="11"/>
      <c r="U1590" s="10" t="str">
        <f>HYPERLINK("https://pbs.twimg.com/profile_images/419790216946147328/daxhnzaa.jpeg","View")</f>
        <v>View</v>
      </c>
    </row>
    <row r="1591" spans="1:21" ht="51">
      <c r="A1591" s="6">
        <v>43439.662175925929</v>
      </c>
      <c r="B1591" s="7" t="str">
        <f>HYPERLINK("https://twitter.com/CsMontoro","@CsMontoro")</f>
        <v>@CsMontoro</v>
      </c>
      <c r="C1591" s="8" t="s">
        <v>6421</v>
      </c>
      <c r="D1591" s="9" t="s">
        <v>6422</v>
      </c>
      <c r="E1591" s="10" t="str">
        <f>HYPERLINK("https://twitter.com/CsMontoro/status/1070330336461119489","1070330336461119489")</f>
        <v>1070330336461119489</v>
      </c>
      <c r="F1591" s="11"/>
      <c r="G1591" s="11"/>
      <c r="H1591" s="11"/>
      <c r="I1591" s="14">
        <v>0</v>
      </c>
      <c r="J1591" s="14">
        <v>0</v>
      </c>
      <c r="K1591" s="15" t="str">
        <f t="shared" ref="K1591:K1592" si="318">HYPERLINK("http://twitter.com/download/android","Twitter for Android")</f>
        <v>Twitter for Android</v>
      </c>
      <c r="L1591" s="14">
        <v>105</v>
      </c>
      <c r="M1591" s="14">
        <v>28</v>
      </c>
      <c r="N1591" s="14">
        <v>1</v>
      </c>
      <c r="O1591" s="16"/>
      <c r="P1591" s="6">
        <v>43157.748576388884</v>
      </c>
      <c r="Q1591" s="12" t="s">
        <v>6423</v>
      </c>
      <c r="R1591" s="17" t="s">
        <v>6424</v>
      </c>
      <c r="S1591" s="13" t="s">
        <v>452</v>
      </c>
      <c r="T1591" s="11"/>
      <c r="U1591" s="10" t="str">
        <f>HYPERLINK("https://pbs.twimg.com/profile_images/968168638216843265/83P1OHqI.jpg","View")</f>
        <v>View</v>
      </c>
    </row>
    <row r="1592" spans="1:21" ht="40.799999999999997">
      <c r="A1592" s="6">
        <v>43439.661828703705</v>
      </c>
      <c r="B1592" s="7" t="str">
        <f>HYPERLINK("https://twitter.com/InigoST","@InigoST")</f>
        <v>@InigoST</v>
      </c>
      <c r="C1592" s="8" t="s">
        <v>5281</v>
      </c>
      <c r="D1592" s="9" t="s">
        <v>5282</v>
      </c>
      <c r="E1592" s="10" t="str">
        <f>HYPERLINK("https://twitter.com/InigoST/status/1070330211894550528","1070330211894550528")</f>
        <v>1070330211894550528</v>
      </c>
      <c r="F1592" s="11"/>
      <c r="G1592" s="11"/>
      <c r="H1592" s="11"/>
      <c r="I1592" s="14">
        <v>0</v>
      </c>
      <c r="J1592" s="14">
        <v>0</v>
      </c>
      <c r="K1592" s="15" t="str">
        <f t="shared" si="318"/>
        <v>Twitter for Android</v>
      </c>
      <c r="L1592" s="14">
        <v>638</v>
      </c>
      <c r="M1592" s="14">
        <v>982</v>
      </c>
      <c r="N1592" s="14">
        <v>58</v>
      </c>
      <c r="O1592" s="16"/>
      <c r="P1592" s="6">
        <v>40907.738726851851</v>
      </c>
      <c r="Q1592" s="12" t="s">
        <v>508</v>
      </c>
      <c r="R1592" s="17" t="s">
        <v>5283</v>
      </c>
      <c r="S1592" s="11"/>
      <c r="T1592" s="11"/>
      <c r="U1592" s="10" t="str">
        <f>HYPERLINK("https://pbs.twimg.com/profile_images/881050134854987776/4faZoZe0.jpg","View")</f>
        <v>View</v>
      </c>
    </row>
    <row r="1593" spans="1:21" ht="61.2">
      <c r="A1593" s="6">
        <v>43439.661724537036</v>
      </c>
      <c r="B1593" s="7" t="str">
        <f>HYPERLINK("https://twitter.com/pedrocrueda","@pedrocrueda")</f>
        <v>@pedrocrueda</v>
      </c>
      <c r="C1593" s="8" t="s">
        <v>5284</v>
      </c>
      <c r="D1593" s="9" t="s">
        <v>5285</v>
      </c>
      <c r="E1593" s="10" t="str">
        <f>HYPERLINK("https://twitter.com/pedrocrueda/status/1070330173470531584","1070330173470531584")</f>
        <v>1070330173470531584</v>
      </c>
      <c r="F1593" s="13" t="s">
        <v>5286</v>
      </c>
      <c r="G1593" s="11"/>
      <c r="H1593" s="11"/>
      <c r="I1593" s="14">
        <v>0</v>
      </c>
      <c r="J1593" s="14">
        <v>0</v>
      </c>
      <c r="K1593" s="15" t="str">
        <f>HYPERLINK("http://twitter.com/download/iphone","Twitter for iPhone")</f>
        <v>Twitter for iPhone</v>
      </c>
      <c r="L1593" s="14">
        <v>196</v>
      </c>
      <c r="M1593" s="14">
        <v>361</v>
      </c>
      <c r="N1593" s="14">
        <v>4</v>
      </c>
      <c r="O1593" s="16"/>
      <c r="P1593" s="6">
        <v>40594.709861111114</v>
      </c>
      <c r="Q1593" s="12" t="s">
        <v>5287</v>
      </c>
      <c r="R1593" s="17" t="s">
        <v>5288</v>
      </c>
      <c r="S1593" s="11"/>
      <c r="T1593" s="11"/>
      <c r="U1593" s="10" t="str">
        <f>HYPERLINK("https://pbs.twimg.com/profile_images/415139976029155330/Bsff0-DT.jpeg","View")</f>
        <v>View</v>
      </c>
    </row>
    <row r="1594" spans="1:21" ht="51">
      <c r="A1594" s="6">
        <v>43439.659884259258</v>
      </c>
      <c r="B1594" s="7" t="str">
        <f>HYPERLINK("https://twitter.com/bcn2day","@bcn2day")</f>
        <v>@bcn2day</v>
      </c>
      <c r="C1594" s="8" t="s">
        <v>6429</v>
      </c>
      <c r="D1594" s="9" t="s">
        <v>6430</v>
      </c>
      <c r="E1594" s="10" t="str">
        <f>HYPERLINK("https://twitter.com/bcn2day/status/1070329503333957632","1070329503333957632")</f>
        <v>1070329503333957632</v>
      </c>
      <c r="F1594" s="13" t="s">
        <v>6431</v>
      </c>
      <c r="G1594" s="11"/>
      <c r="H1594" s="11"/>
      <c r="I1594" s="14">
        <v>0</v>
      </c>
      <c r="J1594" s="14">
        <v>0</v>
      </c>
      <c r="K1594" s="15" t="str">
        <f>HYPERLINK("http://www.facebook.com/twitter","Facebook")</f>
        <v>Facebook</v>
      </c>
      <c r="L1594" s="14">
        <v>61</v>
      </c>
      <c r="M1594" s="14">
        <v>10</v>
      </c>
      <c r="N1594" s="14">
        <v>1</v>
      </c>
      <c r="O1594" s="16"/>
      <c r="P1594" s="6">
        <v>42264.120567129634</v>
      </c>
      <c r="Q1594" s="11"/>
      <c r="R1594" s="18"/>
      <c r="S1594" s="11"/>
      <c r="T1594" s="11"/>
      <c r="U1594" s="10" t="str">
        <f>HYPERLINK("https://pbs.twimg.com/profile_images/644504700356816896/LMbKA-C7.jpg","View")</f>
        <v>View</v>
      </c>
    </row>
    <row r="1595" spans="1:21" ht="20.399999999999999">
      <c r="A1595" s="6">
        <v>43439.656319444446</v>
      </c>
      <c r="B1595" s="7" t="str">
        <f>HYPERLINK("https://twitter.com/jesus_vergara","@jesus_vergara")</f>
        <v>@jesus_vergara</v>
      </c>
      <c r="C1595" s="8" t="s">
        <v>5289</v>
      </c>
      <c r="D1595" s="9" t="s">
        <v>5290</v>
      </c>
      <c r="E1595" s="10" t="str">
        <f>HYPERLINK("https://twitter.com/jesus_vergara/status/1070328215334469635","1070328215334469635")</f>
        <v>1070328215334469635</v>
      </c>
      <c r="F1595" s="11"/>
      <c r="G1595" s="13" t="s">
        <v>5291</v>
      </c>
      <c r="H1595" s="11"/>
      <c r="I1595" s="14">
        <v>1</v>
      </c>
      <c r="J1595" s="14">
        <v>1</v>
      </c>
      <c r="K1595" s="15" t="str">
        <f>HYPERLINK("http://twitter.com/#!/download/ipad","Twitter for iPad")</f>
        <v>Twitter for iPad</v>
      </c>
      <c r="L1595" s="14">
        <v>446</v>
      </c>
      <c r="M1595" s="14">
        <v>444</v>
      </c>
      <c r="N1595" s="14">
        <v>7</v>
      </c>
      <c r="O1595" s="16"/>
      <c r="P1595" s="6">
        <v>40949.322048611109</v>
      </c>
      <c r="Q1595" s="12" t="s">
        <v>5294</v>
      </c>
      <c r="R1595" s="18"/>
      <c r="S1595" s="11"/>
      <c r="T1595" s="11"/>
      <c r="U1595" s="10" t="str">
        <f>HYPERLINK("https://pbs.twimg.com/profile_images/924197541247414272/aYwpxMhE.jpg","View")</f>
        <v>View</v>
      </c>
    </row>
    <row r="1596" spans="1:21" ht="51">
      <c r="A1596" s="6">
        <v>43439.655740740738</v>
      </c>
      <c r="B1596" s="7" t="str">
        <f>HYPERLINK("https://twitter.com/Apus_ino","@Apus_ino")</f>
        <v>@Apus_ino</v>
      </c>
      <c r="C1596" s="8" t="s">
        <v>5298</v>
      </c>
      <c r="D1596" s="9" t="s">
        <v>5299</v>
      </c>
      <c r="E1596" s="10" t="str">
        <f>HYPERLINK("https://twitter.com/Apus_ino/status/1070328003249475584","1070328003249475584")</f>
        <v>1070328003249475584</v>
      </c>
      <c r="F1596" s="13" t="s">
        <v>5302</v>
      </c>
      <c r="G1596" s="11"/>
      <c r="H1596" s="11"/>
      <c r="I1596" s="14">
        <v>0</v>
      </c>
      <c r="J1596" s="14">
        <v>0</v>
      </c>
      <c r="K1596" s="15" t="str">
        <f>HYPERLINK("http://twitter.com/download/iphone","Twitter for iPhone")</f>
        <v>Twitter for iPhone</v>
      </c>
      <c r="L1596" s="14">
        <v>11</v>
      </c>
      <c r="M1596" s="14">
        <v>73</v>
      </c>
      <c r="N1596" s="14">
        <v>0</v>
      </c>
      <c r="O1596" s="16"/>
      <c r="P1596" s="6">
        <v>42679.935624999998</v>
      </c>
      <c r="Q1596" s="12" t="s">
        <v>60</v>
      </c>
      <c r="R1596" s="17" t="s">
        <v>5305</v>
      </c>
      <c r="S1596" s="11"/>
      <c r="T1596" s="11"/>
      <c r="U1596" s="10" t="str">
        <f>HYPERLINK("https://pbs.twimg.com/profile_images/914462305336905728/m0dzdhkj.jpg","View")</f>
        <v>View</v>
      </c>
    </row>
    <row r="1597" spans="1:21" ht="40.799999999999997">
      <c r="A1597" s="6">
        <v>43439.655115740738</v>
      </c>
      <c r="B1597" s="7" t="str">
        <f>HYPERLINK("https://twitter.com/AlbertoSBlanco","@AlbertoSBlanco")</f>
        <v>@AlbertoSBlanco</v>
      </c>
      <c r="C1597" s="8" t="s">
        <v>2358</v>
      </c>
      <c r="D1597" s="9" t="s">
        <v>5306</v>
      </c>
      <c r="E1597" s="10" t="str">
        <f>HYPERLINK("https://twitter.com/AlbertoSBlanco/status/1070327776237051904","1070327776237051904")</f>
        <v>1070327776237051904</v>
      </c>
      <c r="F1597" s="13" t="s">
        <v>5307</v>
      </c>
      <c r="G1597" s="11"/>
      <c r="H1597" s="11"/>
      <c r="I1597" s="14">
        <v>0</v>
      </c>
      <c r="J1597" s="14">
        <v>0</v>
      </c>
      <c r="K1597" s="15" t="str">
        <f>HYPERLINK("http://twitter.com/download/android","Twitter for Android")</f>
        <v>Twitter for Android</v>
      </c>
      <c r="L1597" s="14">
        <v>2667</v>
      </c>
      <c r="M1597" s="14">
        <v>1400</v>
      </c>
      <c r="N1597" s="14">
        <v>33</v>
      </c>
      <c r="O1597" s="16"/>
      <c r="P1597" s="6">
        <v>40747.720636574071</v>
      </c>
      <c r="Q1597" s="11"/>
      <c r="R1597" s="17" t="s">
        <v>2361</v>
      </c>
      <c r="S1597" s="13" t="s">
        <v>2362</v>
      </c>
      <c r="T1597" s="11"/>
      <c r="U1597" s="10" t="str">
        <f>HYPERLINK("https://pbs.twimg.com/profile_images/966330983829135360/yRqQ0NN1.jpg","View")</f>
        <v>View</v>
      </c>
    </row>
    <row r="1598" spans="1:21" ht="30.6">
      <c r="A1598" s="6">
        <v>43439.654976851853</v>
      </c>
      <c r="B1598" s="7" t="str">
        <f>HYPERLINK("https://twitter.com/Ramonesmiranda","@Ramonesmiranda")</f>
        <v>@Ramonesmiranda</v>
      </c>
      <c r="C1598" s="8" t="s">
        <v>6435</v>
      </c>
      <c r="D1598" s="9" t="s">
        <v>6436</v>
      </c>
      <c r="E1598" s="10" t="str">
        <f>HYPERLINK("https://twitter.com/Ramonesmiranda/status/1070327727117529093","1070327727117529093")</f>
        <v>1070327727117529093</v>
      </c>
      <c r="F1598" s="11"/>
      <c r="G1598" s="11"/>
      <c r="H1598" s="11"/>
      <c r="I1598" s="14">
        <v>4</v>
      </c>
      <c r="J1598" s="14">
        <v>2</v>
      </c>
      <c r="K1598" s="15" t="str">
        <f t="shared" ref="K1598:K1599" si="319">HYPERLINK("http://twitter.com/download/iphone","Twitter for iPhone")</f>
        <v>Twitter for iPhone</v>
      </c>
      <c r="L1598" s="14">
        <v>2054</v>
      </c>
      <c r="M1598" s="14">
        <v>2030</v>
      </c>
      <c r="N1598" s="14">
        <v>60</v>
      </c>
      <c r="O1598" s="16"/>
      <c r="P1598" s="6">
        <v>40640.576296296298</v>
      </c>
      <c r="Q1598" s="12" t="s">
        <v>6438</v>
      </c>
      <c r="R1598" s="17" t="s">
        <v>6439</v>
      </c>
      <c r="S1598" s="13" t="s">
        <v>6440</v>
      </c>
      <c r="T1598" s="11"/>
      <c r="U1598" s="10" t="str">
        <f>HYPERLINK("https://pbs.twimg.com/profile_images/919526919179329536/y02LMBEI.jpg","View")</f>
        <v>View</v>
      </c>
    </row>
    <row r="1599" spans="1:21" ht="51">
      <c r="A1599" s="6">
        <v>43439.654826388884</v>
      </c>
      <c r="B1599" s="7" t="str">
        <f>HYPERLINK("https://twitter.com/Lucia90647951","@Lucia90647951")</f>
        <v>@Lucia90647951</v>
      </c>
      <c r="C1599" s="8" t="s">
        <v>140</v>
      </c>
      <c r="D1599" s="9" t="s">
        <v>5308</v>
      </c>
      <c r="E1599" s="10" t="str">
        <f>HYPERLINK("https://twitter.com/Lucia90647951/status/1070327672436391936","1070327672436391936")</f>
        <v>1070327672436391936</v>
      </c>
      <c r="F1599" s="12" t="s">
        <v>5311</v>
      </c>
      <c r="G1599" s="11"/>
      <c r="H1599" s="11"/>
      <c r="I1599" s="14">
        <v>1</v>
      </c>
      <c r="J1599" s="14">
        <v>1</v>
      </c>
      <c r="K1599" s="15" t="str">
        <f t="shared" si="319"/>
        <v>Twitter for iPhone</v>
      </c>
      <c r="L1599" s="14">
        <v>132</v>
      </c>
      <c r="M1599" s="14">
        <v>300</v>
      </c>
      <c r="N1599" s="14">
        <v>0</v>
      </c>
      <c r="O1599" s="16"/>
      <c r="P1599" s="6">
        <v>43384.95612268518</v>
      </c>
      <c r="Q1599" s="11"/>
      <c r="R1599" s="17" t="s">
        <v>152</v>
      </c>
      <c r="S1599" s="11"/>
      <c r="T1599" s="11"/>
      <c r="U1599" s="10" t="str">
        <f>HYPERLINK("https://pbs.twimg.com/profile_images/1050493441669562368/LLmfSs9m.jpg","View")</f>
        <v>View</v>
      </c>
    </row>
    <row r="1600" spans="1:21" ht="40.799999999999997">
      <c r="A1600" s="6">
        <v>43439.654606481483</v>
      </c>
      <c r="B1600" s="7" t="str">
        <f>HYPERLINK("https://twitter.com/MuyLiberal","@MuyLiberal")</f>
        <v>@MuyLiberal</v>
      </c>
      <c r="C1600" s="8" t="s">
        <v>6444</v>
      </c>
      <c r="D1600" s="9" t="s">
        <v>6445</v>
      </c>
      <c r="E1600" s="10" t="str">
        <f>HYPERLINK("https://twitter.com/MuyLiberal/status/1070327594606841861","1070327594606841861")</f>
        <v>1070327594606841861</v>
      </c>
      <c r="F1600" s="13" t="s">
        <v>6447</v>
      </c>
      <c r="G1600" s="11"/>
      <c r="H1600" s="11"/>
      <c r="I1600" s="14">
        <v>2</v>
      </c>
      <c r="J1600" s="14">
        <v>1</v>
      </c>
      <c r="K1600" s="15" t="str">
        <f>HYPERLINK("http://twitter.com","Twitter Web Client")</f>
        <v>Twitter Web Client</v>
      </c>
      <c r="L1600" s="14">
        <v>29630</v>
      </c>
      <c r="M1600" s="14">
        <v>1982</v>
      </c>
      <c r="N1600" s="14">
        <v>241</v>
      </c>
      <c r="O1600" s="19" t="s">
        <v>42</v>
      </c>
      <c r="P1600" s="6">
        <v>41184.784629629634</v>
      </c>
      <c r="Q1600" s="11"/>
      <c r="R1600" s="17" t="s">
        <v>6450</v>
      </c>
      <c r="S1600" s="13" t="s">
        <v>6451</v>
      </c>
      <c r="T1600" s="11"/>
      <c r="U1600" s="10" t="str">
        <f>HYPERLINK("https://pbs.twimg.com/profile_images/1065892129539530753/g638P6sH.jpg","View")</f>
        <v>View</v>
      </c>
    </row>
    <row r="1601" spans="1:21" ht="30.6">
      <c r="A1601" s="6">
        <v>43439.654317129629</v>
      </c>
      <c r="B1601" s="7" t="str">
        <f>HYPERLINK("https://twitter.com/rosamaria18btr","@rosamaria18btr")</f>
        <v>@rosamaria18btr</v>
      </c>
      <c r="C1601" s="8" t="s">
        <v>5315</v>
      </c>
      <c r="D1601" s="9" t="s">
        <v>5316</v>
      </c>
      <c r="E1601" s="10" t="str">
        <f>HYPERLINK("https://twitter.com/rosamaria18btr/status/1070327487236857857","1070327487236857857")</f>
        <v>1070327487236857857</v>
      </c>
      <c r="F1601" s="13" t="s">
        <v>5319</v>
      </c>
      <c r="G1601" s="11"/>
      <c r="H1601" s="11"/>
      <c r="I1601" s="14">
        <v>0</v>
      </c>
      <c r="J1601" s="14">
        <v>0</v>
      </c>
      <c r="K1601" s="15" t="str">
        <f>HYPERLINK("http://twitter.com/download/android","Twitter for Android")</f>
        <v>Twitter for Android</v>
      </c>
      <c r="L1601" s="14">
        <v>1986</v>
      </c>
      <c r="M1601" s="14">
        <v>2006</v>
      </c>
      <c r="N1601" s="14">
        <v>15</v>
      </c>
      <c r="O1601" s="16"/>
      <c r="P1601" s="6">
        <v>41434.706724537034</v>
      </c>
      <c r="Q1601" s="12" t="s">
        <v>5320</v>
      </c>
      <c r="R1601" s="18"/>
      <c r="S1601" s="11"/>
      <c r="T1601" s="11"/>
      <c r="U1601" s="10" t="str">
        <f>HYPERLINK("https://pbs.twimg.com/profile_images/972005691081637889/LtWxCVTY.jpg","View")</f>
        <v>View</v>
      </c>
    </row>
    <row r="1602" spans="1:21" ht="40.799999999999997">
      <c r="A1602" s="6">
        <v>43439.652708333335</v>
      </c>
      <c r="B1602" s="7" t="str">
        <f>HYPERLINK("https://twitter.com/CatdeArag","@CatdeArag")</f>
        <v>@CatdeArag</v>
      </c>
      <c r="C1602" s="8" t="s">
        <v>6457</v>
      </c>
      <c r="D1602" s="9" t="s">
        <v>6458</v>
      </c>
      <c r="E1602" s="10" t="str">
        <f>HYPERLINK("https://twitter.com/CatdeArag/status/1070326903586856961","1070326903586856961")</f>
        <v>1070326903586856961</v>
      </c>
      <c r="F1602" s="11"/>
      <c r="G1602" s="11"/>
      <c r="H1602" s="11"/>
      <c r="I1602" s="14">
        <v>0</v>
      </c>
      <c r="J1602" s="14">
        <v>0</v>
      </c>
      <c r="K1602" s="15" t="str">
        <f>HYPERLINK("http://twitter.com/download/iphone","Twitter for iPhone")</f>
        <v>Twitter for iPhone</v>
      </c>
      <c r="L1602" s="14">
        <v>533</v>
      </c>
      <c r="M1602" s="14">
        <v>941</v>
      </c>
      <c r="N1602" s="14">
        <v>5</v>
      </c>
      <c r="O1602" s="16"/>
      <c r="P1602" s="6">
        <v>42185.915752314817</v>
      </c>
      <c r="Q1602" s="12" t="s">
        <v>187</v>
      </c>
      <c r="R1602" s="17" t="s">
        <v>6461</v>
      </c>
      <c r="S1602" s="11"/>
      <c r="T1602" s="11"/>
      <c r="U1602" s="10" t="str">
        <f>HYPERLINK("https://pbs.twimg.com/profile_images/615973598126338048/Rv3h-TSB.jpg","View")</f>
        <v>View</v>
      </c>
    </row>
    <row r="1603" spans="1:21" ht="40.799999999999997">
      <c r="A1603" s="6">
        <v>43439.652696759258</v>
      </c>
      <c r="B1603" s="7" t="str">
        <f>HYPERLINK("https://twitter.com/La_Cerca","@La_Cerca")</f>
        <v>@La_Cerca</v>
      </c>
      <c r="C1603" s="8" t="s">
        <v>2743</v>
      </c>
      <c r="D1603" s="9" t="s">
        <v>5324</v>
      </c>
      <c r="E1603" s="10" t="str">
        <f>HYPERLINK("https://twitter.com/La_Cerca/status/1070326901695225857","1070326901695225857")</f>
        <v>1070326901695225857</v>
      </c>
      <c r="F1603" s="13" t="s">
        <v>5327</v>
      </c>
      <c r="G1603" s="11"/>
      <c r="H1603" s="11"/>
      <c r="I1603" s="14">
        <v>0</v>
      </c>
      <c r="J1603" s="14">
        <v>0</v>
      </c>
      <c r="K1603" s="15" t="str">
        <f>HYPERLINK("http://www.lacerca.com","La Cerca")</f>
        <v>La Cerca</v>
      </c>
      <c r="L1603" s="14">
        <v>18980</v>
      </c>
      <c r="M1603" s="14">
        <v>4970</v>
      </c>
      <c r="N1603" s="14">
        <v>337</v>
      </c>
      <c r="O1603" s="19" t="s">
        <v>42</v>
      </c>
      <c r="P1603" s="6">
        <v>40007.429652777777</v>
      </c>
      <c r="Q1603" s="12" t="s">
        <v>2255</v>
      </c>
      <c r="R1603" s="17" t="s">
        <v>2746</v>
      </c>
      <c r="S1603" s="13" t="s">
        <v>2747</v>
      </c>
      <c r="T1603" s="11"/>
      <c r="U1603" s="10" t="str">
        <f>HYPERLINK("https://pbs.twimg.com/profile_images/1046758213843111937/MFsiNfy0.jpg","View")</f>
        <v>View</v>
      </c>
    </row>
    <row r="1604" spans="1:21" ht="51">
      <c r="A1604" s="6">
        <v>43439.652627314819</v>
      </c>
      <c r="B1604" s="7" t="str">
        <f>HYPERLINK("https://twitter.com/sotosinmas","@sotosinmas")</f>
        <v>@sotosinmas</v>
      </c>
      <c r="C1604" s="8" t="s">
        <v>5334</v>
      </c>
      <c r="D1604" s="9" t="s">
        <v>5335</v>
      </c>
      <c r="E1604" s="10" t="str">
        <f>HYPERLINK("https://twitter.com/sotosinmas/status/1070326876839862272","1070326876839862272")</f>
        <v>1070326876839862272</v>
      </c>
      <c r="F1604" s="11"/>
      <c r="G1604" s="13" t="s">
        <v>5339</v>
      </c>
      <c r="H1604" s="11"/>
      <c r="I1604" s="14">
        <v>1</v>
      </c>
      <c r="J1604" s="14">
        <v>10</v>
      </c>
      <c r="K1604" s="15" t="str">
        <f>HYPERLINK("http://twitter.com/download/iphone","Twitter for iPhone")</f>
        <v>Twitter for iPhone</v>
      </c>
      <c r="L1604" s="14">
        <v>4626</v>
      </c>
      <c r="M1604" s="14">
        <v>897</v>
      </c>
      <c r="N1604" s="14">
        <v>66</v>
      </c>
      <c r="O1604" s="16"/>
      <c r="P1604" s="6">
        <v>40661.921006944445</v>
      </c>
      <c r="Q1604" s="12" t="s">
        <v>137</v>
      </c>
      <c r="R1604" s="17" t="s">
        <v>5343</v>
      </c>
      <c r="S1604" s="11"/>
      <c r="T1604" s="11"/>
      <c r="U1604" s="10" t="str">
        <f>HYPERLINK("https://pbs.twimg.com/profile_images/986294607540572170/oDBR8wbt.jpg","View")</f>
        <v>View</v>
      </c>
    </row>
    <row r="1605" spans="1:21" ht="20.399999999999999">
      <c r="A1605" s="6">
        <v>43439.652418981481</v>
      </c>
      <c r="B1605" s="7" t="str">
        <f>HYPERLINK("https://twitter.com/robjotacole","@robjotacole")</f>
        <v>@robjotacole</v>
      </c>
      <c r="C1605" s="8" t="s">
        <v>6465</v>
      </c>
      <c r="D1605" s="9" t="s">
        <v>6466</v>
      </c>
      <c r="E1605" s="10" t="str">
        <f>HYPERLINK("https://twitter.com/robjotacole/status/1070326800562176001","1070326800562176001")</f>
        <v>1070326800562176001</v>
      </c>
      <c r="F1605" s="11"/>
      <c r="G1605" s="11"/>
      <c r="H1605" s="11"/>
      <c r="I1605" s="14">
        <v>0</v>
      </c>
      <c r="J1605" s="14">
        <v>0</v>
      </c>
      <c r="K1605" s="15" t="str">
        <f>HYPERLINK("http://twitter.com","Twitter Web Client")</f>
        <v>Twitter Web Client</v>
      </c>
      <c r="L1605" s="14">
        <v>164</v>
      </c>
      <c r="M1605" s="14">
        <v>340</v>
      </c>
      <c r="N1605" s="14">
        <v>7</v>
      </c>
      <c r="O1605" s="16"/>
      <c r="P1605" s="6">
        <v>40665.814305555556</v>
      </c>
      <c r="Q1605" s="12" t="s">
        <v>6467</v>
      </c>
      <c r="R1605" s="17" t="s">
        <v>6468</v>
      </c>
      <c r="S1605" s="11"/>
      <c r="T1605" s="11"/>
      <c r="U1605" s="10" t="str">
        <f>HYPERLINK("https://pbs.twimg.com/profile_images/941020486485663746/KqfI12FB.jpg","View")</f>
        <v>View</v>
      </c>
    </row>
    <row r="1606" spans="1:21" ht="40.799999999999997">
      <c r="A1606" s="6">
        <v>43439.652372685188</v>
      </c>
      <c r="B1606" s="7" t="str">
        <f>HYPERLINK("https://twitter.com/Guadalupbragado","@Guadalupbragado")</f>
        <v>@Guadalupbragado</v>
      </c>
      <c r="C1606" s="8" t="s">
        <v>6469</v>
      </c>
      <c r="D1606" s="9" t="s">
        <v>3290</v>
      </c>
      <c r="E1606" s="10" t="str">
        <f>HYPERLINK("https://twitter.com/Guadalupbragado/status/1070326784292503553","1070326784292503553")</f>
        <v>1070326784292503553</v>
      </c>
      <c r="F1606" s="13" t="s">
        <v>4954</v>
      </c>
      <c r="G1606" s="11"/>
      <c r="H1606" s="11"/>
      <c r="I1606" s="14">
        <v>0</v>
      </c>
      <c r="J1606" s="14">
        <v>0</v>
      </c>
      <c r="K1606" s="15" t="str">
        <f t="shared" ref="K1606:K1607" si="320">HYPERLINK("http://twitter.com/download/android","Twitter for Android")</f>
        <v>Twitter for Android</v>
      </c>
      <c r="L1606" s="14">
        <v>2166</v>
      </c>
      <c r="M1606" s="14">
        <v>1164</v>
      </c>
      <c r="N1606" s="14">
        <v>145</v>
      </c>
      <c r="O1606" s="16"/>
      <c r="P1606" s="6">
        <v>41291.88417824074</v>
      </c>
      <c r="Q1606" s="12" t="s">
        <v>60</v>
      </c>
      <c r="R1606" s="17" t="s">
        <v>6473</v>
      </c>
      <c r="S1606" s="13" t="s">
        <v>6474</v>
      </c>
      <c r="T1606" s="11"/>
      <c r="U1606" s="10" t="str">
        <f>HYPERLINK("https://pbs.twimg.com/profile_images/1047569124220657664/Fmljmoqf.jpg","View")</f>
        <v>View</v>
      </c>
    </row>
    <row r="1607" spans="1:21" ht="20.399999999999999">
      <c r="A1607" s="6">
        <v>43439.652071759258</v>
      </c>
      <c r="B1607" s="7" t="str">
        <f>HYPERLINK("https://twitter.com/aipepet","@aipepet")</f>
        <v>@aipepet</v>
      </c>
      <c r="C1607" s="8" t="s">
        <v>5344</v>
      </c>
      <c r="D1607" s="9" t="s">
        <v>5345</v>
      </c>
      <c r="E1607" s="10" t="str">
        <f>HYPERLINK("https://twitter.com/aipepet/status/1070326675022467073","1070326675022467073")</f>
        <v>1070326675022467073</v>
      </c>
      <c r="F1607" s="12" t="s">
        <v>5346</v>
      </c>
      <c r="G1607" s="11"/>
      <c r="H1607" s="11"/>
      <c r="I1607" s="14">
        <v>0</v>
      </c>
      <c r="J1607" s="14">
        <v>0</v>
      </c>
      <c r="K1607" s="15" t="str">
        <f t="shared" si="320"/>
        <v>Twitter for Android</v>
      </c>
      <c r="L1607" s="14">
        <v>239</v>
      </c>
      <c r="M1607" s="14">
        <v>531</v>
      </c>
      <c r="N1607" s="14">
        <v>2</v>
      </c>
      <c r="O1607" s="16"/>
      <c r="P1607" s="6">
        <v>41341.398935185185</v>
      </c>
      <c r="Q1607" s="11"/>
      <c r="R1607" s="18"/>
      <c r="S1607" s="11"/>
      <c r="T1607" s="11"/>
      <c r="U1607" s="10" t="str">
        <f>HYPERLINK("https://pbs.twimg.com/profile_images/667334984328458244/zxkkx-jy.jpg","View")</f>
        <v>View</v>
      </c>
    </row>
    <row r="1608" spans="1:21" ht="20.399999999999999">
      <c r="A1608" s="6">
        <v>43439.651319444441</v>
      </c>
      <c r="B1608" s="7" t="str">
        <f>HYPERLINK("https://twitter.com/mathusal9","@mathusal9")</f>
        <v>@mathusal9</v>
      </c>
      <c r="C1608" s="8" t="s">
        <v>812</v>
      </c>
      <c r="D1608" s="9" t="s">
        <v>4065</v>
      </c>
      <c r="E1608" s="10" t="str">
        <f>HYPERLINK("https://twitter.com/mathusal9/status/1070326400001957888","1070326400001957888")</f>
        <v>1070326400001957888</v>
      </c>
      <c r="F1608" s="13" t="s">
        <v>3869</v>
      </c>
      <c r="G1608" s="11"/>
      <c r="H1608" s="11"/>
      <c r="I1608" s="14">
        <v>0</v>
      </c>
      <c r="J1608" s="14">
        <v>0</v>
      </c>
      <c r="K1608" s="15" t="str">
        <f>HYPERLINK("http://twitter.com","Twitter Web Client")</f>
        <v>Twitter Web Client</v>
      </c>
      <c r="L1608" s="14">
        <v>704</v>
      </c>
      <c r="M1608" s="14">
        <v>1803</v>
      </c>
      <c r="N1608" s="14">
        <v>3</v>
      </c>
      <c r="O1608" s="16"/>
      <c r="P1608" s="6">
        <v>43049.798819444448</v>
      </c>
      <c r="Q1608" s="12" t="s">
        <v>449</v>
      </c>
      <c r="R1608" s="17" t="s">
        <v>813</v>
      </c>
      <c r="S1608" s="11"/>
      <c r="T1608" s="11"/>
      <c r="U1608" s="10" t="str">
        <f>HYPERLINK("https://pbs.twimg.com/profile_images/936494587761385472/4QRLIAtv.jpg","View")</f>
        <v>View</v>
      </c>
    </row>
    <row r="1609" spans="1:21" ht="20.399999999999999">
      <c r="A1609" s="6">
        <v>43439.651134259257</v>
      </c>
      <c r="B1609" s="7" t="str">
        <f>HYPERLINK("https://twitter.com/negativo_stats","@negativo_stats")</f>
        <v>@negativo_stats</v>
      </c>
      <c r="C1609" s="8" t="s">
        <v>171</v>
      </c>
      <c r="D1609" s="9" t="s">
        <v>172</v>
      </c>
      <c r="E1609" s="10" t="str">
        <f>HYPERLINK("https://twitter.com/negativo_stats/status/1070326332695986177","1070326332695986177")</f>
        <v>1070326332695986177</v>
      </c>
      <c r="F1609" s="11"/>
      <c r="G1609" s="13" t="s">
        <v>5349</v>
      </c>
      <c r="H1609" s="11"/>
      <c r="I1609" s="14">
        <v>0</v>
      </c>
      <c r="J1609" s="14">
        <v>0</v>
      </c>
      <c r="K1609" s="15" t="str">
        <f>HYPERLINK("http://kosmonautica.es","Política Negativa")</f>
        <v>Política Negativa</v>
      </c>
      <c r="L1609" s="14">
        <v>268</v>
      </c>
      <c r="M1609" s="14">
        <v>788</v>
      </c>
      <c r="N1609" s="14">
        <v>2</v>
      </c>
      <c r="O1609" s="16"/>
      <c r="P1609" s="6">
        <v>42171.770601851851</v>
      </c>
      <c r="Q1609" s="12" t="s">
        <v>60</v>
      </c>
      <c r="R1609" s="17" t="s">
        <v>174</v>
      </c>
      <c r="S1609" s="11"/>
      <c r="T1609" s="11"/>
      <c r="U1609" s="10" t="str">
        <f>HYPERLINK("https://pbs.twimg.com/profile_images/628553625984438272/e-VHyhP1.png","View")</f>
        <v>View</v>
      </c>
    </row>
    <row r="1610" spans="1:21" ht="40.799999999999997">
      <c r="A1610" s="6">
        <v>43439.650231481486</v>
      </c>
      <c r="B1610" s="7" t="str">
        <f>HYPERLINK("https://twitter.com/rss_noticias","@rss_noticias")</f>
        <v>@rss_noticias</v>
      </c>
      <c r="C1610" s="8" t="s">
        <v>6480</v>
      </c>
      <c r="D1610" s="9" t="s">
        <v>6481</v>
      </c>
      <c r="E1610" s="10" t="str">
        <f>HYPERLINK("https://twitter.com/rss_noticias/status/1070326007868071936","1070326007868071936")</f>
        <v>1070326007868071936</v>
      </c>
      <c r="F1610" s="13" t="s">
        <v>6482</v>
      </c>
      <c r="G1610" s="11"/>
      <c r="H1610" s="11"/>
      <c r="I1610" s="14">
        <v>0</v>
      </c>
      <c r="J1610" s="14">
        <v>0</v>
      </c>
      <c r="K1610" s="15" t="str">
        <f>HYPERLINK("https://ifttt.com","IFTTT")</f>
        <v>IFTTT</v>
      </c>
      <c r="L1610" s="14">
        <v>453</v>
      </c>
      <c r="M1610" s="14">
        <v>1</v>
      </c>
      <c r="N1610" s="14">
        <v>7</v>
      </c>
      <c r="O1610" s="16"/>
      <c r="P1610" s="6">
        <v>43425.916296296295</v>
      </c>
      <c r="Q1610" s="12" t="s">
        <v>6483</v>
      </c>
      <c r="R1610" s="17" t="s">
        <v>6484</v>
      </c>
      <c r="S1610" s="11"/>
      <c r="T1610" s="11"/>
      <c r="U1610" s="10" t="str">
        <f>HYPERLINK("https://pbs.twimg.com/profile_images/1065358148377153542/OtJ5HtwI.jpg","View")</f>
        <v>View</v>
      </c>
    </row>
    <row r="1611" spans="1:21" ht="112.2">
      <c r="A1611" s="6">
        <v>43439.649907407409</v>
      </c>
      <c r="B1611" s="7" t="str">
        <f>HYPERLINK("https://twitter.com/Azaras11","@Azaras11")</f>
        <v>@Azaras11</v>
      </c>
      <c r="C1611" s="8" t="s">
        <v>5350</v>
      </c>
      <c r="D1611" s="9" t="s">
        <v>5351</v>
      </c>
      <c r="E1611" s="10" t="str">
        <f>HYPERLINK("https://twitter.com/Azaras11/status/1070325890805088266","1070325890805088266")</f>
        <v>1070325890805088266</v>
      </c>
      <c r="F1611" s="13" t="s">
        <v>1853</v>
      </c>
      <c r="G1611" s="13" t="s">
        <v>1835</v>
      </c>
      <c r="H1611" s="11"/>
      <c r="I1611" s="14">
        <v>1</v>
      </c>
      <c r="J1611" s="14">
        <v>0</v>
      </c>
      <c r="K1611" s="15" t="str">
        <f>HYPERLINK("http://twitter.com","Twitter Web Client")</f>
        <v>Twitter Web Client</v>
      </c>
      <c r="L1611" s="14">
        <v>513</v>
      </c>
      <c r="M1611" s="14">
        <v>872</v>
      </c>
      <c r="N1611" s="14">
        <v>1</v>
      </c>
      <c r="O1611" s="16"/>
      <c r="P1611" s="6">
        <v>43245.579814814817</v>
      </c>
      <c r="Q1611" s="12" t="s">
        <v>137</v>
      </c>
      <c r="R1611" s="17" t="s">
        <v>5355</v>
      </c>
      <c r="S1611" s="11"/>
      <c r="T1611" s="11"/>
      <c r="U1611" s="10" t="str">
        <f>HYPERLINK("https://pbs.twimg.com/profile_images/1044539278448107521/-XQ9iCdW.jpg","View")</f>
        <v>View</v>
      </c>
    </row>
    <row r="1612" spans="1:21" ht="51">
      <c r="A1612" s="6">
        <v>43439.649618055555</v>
      </c>
      <c r="B1612" s="7" t="str">
        <f>HYPERLINK("https://twitter.com/BurgoVega","@BurgoVega")</f>
        <v>@BurgoVega</v>
      </c>
      <c r="C1612" s="8" t="s">
        <v>6486</v>
      </c>
      <c r="D1612" s="9" t="s">
        <v>6487</v>
      </c>
      <c r="E1612" s="10" t="str">
        <f>HYPERLINK("https://twitter.com/BurgoVega/status/1070325786018758656","1070325786018758656")</f>
        <v>1070325786018758656</v>
      </c>
      <c r="F1612" s="11"/>
      <c r="G1612" s="13" t="s">
        <v>6488</v>
      </c>
      <c r="H1612" s="11"/>
      <c r="I1612" s="14">
        <v>0</v>
      </c>
      <c r="J1612" s="14">
        <v>0</v>
      </c>
      <c r="K1612" s="15" t="str">
        <f>HYPERLINK("http://twitter.com/download/android","Twitter for Android")</f>
        <v>Twitter for Android</v>
      </c>
      <c r="L1612" s="14">
        <v>1153</v>
      </c>
      <c r="M1612" s="14">
        <v>571</v>
      </c>
      <c r="N1612" s="14">
        <v>22</v>
      </c>
      <c r="O1612" s="16"/>
      <c r="P1612" s="6">
        <v>41898.90115740741</v>
      </c>
      <c r="Q1612" s="12" t="s">
        <v>6489</v>
      </c>
      <c r="R1612" s="17" t="s">
        <v>6490</v>
      </c>
      <c r="S1612" s="11"/>
      <c r="T1612" s="11"/>
      <c r="U1612" s="10" t="str">
        <f>HYPERLINK("https://pbs.twimg.com/profile_images/1060320673548124161/TYDHDWvB.jpg","View")</f>
        <v>View</v>
      </c>
    </row>
    <row r="1613" spans="1:21" ht="40.799999999999997">
      <c r="A1613" s="6">
        <v>43439.649178240739</v>
      </c>
      <c r="B1613" s="7" t="str">
        <f>HYPERLINK("https://twitter.com/Canal_Z_","@Canal_Z_")</f>
        <v>@Canal_Z_</v>
      </c>
      <c r="C1613" s="8" t="s">
        <v>6164</v>
      </c>
      <c r="D1613" s="9" t="s">
        <v>6491</v>
      </c>
      <c r="E1613" s="10" t="str">
        <f>HYPERLINK("https://twitter.com/Canal_Z_/status/1070325626945634305","1070325626945634305")</f>
        <v>1070325626945634305</v>
      </c>
      <c r="F1613" s="13" t="s">
        <v>6166</v>
      </c>
      <c r="G1613" s="13" t="s">
        <v>6492</v>
      </c>
      <c r="H1613" s="11"/>
      <c r="I1613" s="14">
        <v>0</v>
      </c>
      <c r="J1613" s="14">
        <v>0</v>
      </c>
      <c r="K1613" s="15" t="str">
        <f t="shared" ref="K1613:K1614" si="321">HYPERLINK("http://twitter.com","Twitter Web Client")</f>
        <v>Twitter Web Client</v>
      </c>
      <c r="L1613" s="14">
        <v>2622</v>
      </c>
      <c r="M1613" s="14">
        <v>4992</v>
      </c>
      <c r="N1613" s="14">
        <v>10</v>
      </c>
      <c r="O1613" s="16"/>
      <c r="P1613" s="6">
        <v>41462.275254629625</v>
      </c>
      <c r="Q1613" s="12" t="s">
        <v>137</v>
      </c>
      <c r="R1613" s="17" t="s">
        <v>6170</v>
      </c>
      <c r="S1613" s="11"/>
      <c r="T1613" s="11"/>
      <c r="U1613" s="10" t="str">
        <f>HYPERLINK("https://pbs.twimg.com/profile_images/1008407123242422272/aENpWjy6.jpg","View")</f>
        <v>View</v>
      </c>
    </row>
    <row r="1614" spans="1:21" ht="40.799999999999997">
      <c r="A1614" s="6">
        <v>43439.649027777778</v>
      </c>
      <c r="B1614" s="7" t="str">
        <f>HYPERLINK("https://twitter.com/CsCongreso","@CsCongreso")</f>
        <v>@CsCongreso</v>
      </c>
      <c r="C1614" s="8" t="s">
        <v>4739</v>
      </c>
      <c r="D1614" s="9" t="s">
        <v>5356</v>
      </c>
      <c r="E1614" s="10" t="str">
        <f>HYPERLINK("https://twitter.com/CsCongreso/status/1070325570754490369","1070325570754490369")</f>
        <v>1070325570754490369</v>
      </c>
      <c r="F1614" s="11"/>
      <c r="G1614" s="13" t="s">
        <v>5357</v>
      </c>
      <c r="H1614" s="11"/>
      <c r="I1614" s="14">
        <v>8</v>
      </c>
      <c r="J1614" s="14">
        <v>19</v>
      </c>
      <c r="K1614" s="15" t="str">
        <f t="shared" si="321"/>
        <v>Twitter Web Client</v>
      </c>
      <c r="L1614" s="14">
        <v>35515</v>
      </c>
      <c r="M1614" s="14">
        <v>9992</v>
      </c>
      <c r="N1614" s="14">
        <v>419</v>
      </c>
      <c r="O1614" s="19" t="s">
        <v>42</v>
      </c>
      <c r="P1614" s="6">
        <v>41533.434733796297</v>
      </c>
      <c r="Q1614" s="12" t="s">
        <v>137</v>
      </c>
      <c r="R1614" s="17" t="s">
        <v>4743</v>
      </c>
      <c r="S1614" s="13" t="s">
        <v>822</v>
      </c>
      <c r="T1614" s="11"/>
      <c r="U1614" s="10" t="str">
        <f>HYPERLINK("https://pbs.twimg.com/profile_images/885163719302557696/v7WiRi0W.jpg","View")</f>
        <v>View</v>
      </c>
    </row>
    <row r="1615" spans="1:21" ht="51">
      <c r="A1615" s="6">
        <v>43439.648912037039</v>
      </c>
      <c r="B1615" s="7" t="str">
        <f>HYPERLINK("https://twitter.com/UlisesGamez10","@UlisesGamez10")</f>
        <v>@UlisesGamez10</v>
      </c>
      <c r="C1615" s="8" t="s">
        <v>3569</v>
      </c>
      <c r="D1615" s="9" t="s">
        <v>5360</v>
      </c>
      <c r="E1615" s="10" t="str">
        <f>HYPERLINK("https://twitter.com/UlisesGamez10/status/1070325529591599105","1070325529591599105")</f>
        <v>1070325529591599105</v>
      </c>
      <c r="F1615" s="11"/>
      <c r="G1615" s="11"/>
      <c r="H1615" s="11"/>
      <c r="I1615" s="14">
        <v>1</v>
      </c>
      <c r="J1615" s="14">
        <v>1</v>
      </c>
      <c r="K1615" s="15" t="str">
        <f t="shared" ref="K1615:K1619" si="322">HYPERLINK("http://twitter.com/download/android","Twitter for Android")</f>
        <v>Twitter for Android</v>
      </c>
      <c r="L1615" s="14">
        <v>1184</v>
      </c>
      <c r="M1615" s="14">
        <v>5002</v>
      </c>
      <c r="N1615" s="14">
        <v>0</v>
      </c>
      <c r="O1615" s="16"/>
      <c r="P1615" s="6">
        <v>43190.59783564815</v>
      </c>
      <c r="Q1615" s="12" t="s">
        <v>3571</v>
      </c>
      <c r="R1615" s="17" t="s">
        <v>3572</v>
      </c>
      <c r="S1615" s="11"/>
      <c r="T1615" s="11"/>
      <c r="U1615" s="10" t="str">
        <f>HYPERLINK("https://pbs.twimg.com/profile_images/1068881444196499456/MCgxp2WR.jpg","View")</f>
        <v>View</v>
      </c>
    </row>
    <row r="1616" spans="1:21" ht="30.6">
      <c r="A1616" s="6">
        <v>43439.648738425924</v>
      </c>
      <c r="B1616" s="7" t="str">
        <f>HYPERLINK("https://twitter.com/Fuckyoucurve","@Fuckyoucurve")</f>
        <v>@Fuckyoucurve</v>
      </c>
      <c r="C1616" s="8" t="s">
        <v>6495</v>
      </c>
      <c r="D1616" s="9" t="s">
        <v>6496</v>
      </c>
      <c r="E1616" s="10" t="str">
        <f>HYPERLINK("https://twitter.com/Fuckyoucurve/status/1070325465741709312","1070325465741709312")</f>
        <v>1070325465741709312</v>
      </c>
      <c r="F1616" s="11"/>
      <c r="G1616" s="11"/>
      <c r="H1616" s="11"/>
      <c r="I1616" s="14">
        <v>0</v>
      </c>
      <c r="J1616" s="14">
        <v>1</v>
      </c>
      <c r="K1616" s="15" t="str">
        <f t="shared" si="322"/>
        <v>Twitter for Android</v>
      </c>
      <c r="L1616" s="14">
        <v>1045</v>
      </c>
      <c r="M1616" s="14">
        <v>169</v>
      </c>
      <c r="N1616" s="14">
        <v>3</v>
      </c>
      <c r="O1616" s="16"/>
      <c r="P1616" s="6">
        <v>41705.911087962959</v>
      </c>
      <c r="Q1616" s="12" t="s">
        <v>137</v>
      </c>
      <c r="R1616" s="17" t="s">
        <v>6497</v>
      </c>
      <c r="S1616" s="13" t="s">
        <v>6498</v>
      </c>
      <c r="T1616" s="11"/>
      <c r="U1616" s="10" t="str">
        <f>HYPERLINK("https://pbs.twimg.com/profile_images/755875276408643584/meicNOvb.jpg","View")</f>
        <v>View</v>
      </c>
    </row>
    <row r="1617" spans="1:21" ht="71.400000000000006">
      <c r="A1617" s="6">
        <v>43439.648229166662</v>
      </c>
      <c r="B1617" s="7" t="str">
        <f>HYPERLINK("https://twitter.com/MCarmenRiv74","@MCarmenRiv74")</f>
        <v>@MCarmenRiv74</v>
      </c>
      <c r="C1617" s="8" t="s">
        <v>6499</v>
      </c>
      <c r="D1617" s="9" t="s">
        <v>6500</v>
      </c>
      <c r="E1617" s="10" t="str">
        <f>HYPERLINK("https://twitter.com/MCarmenRiv74/status/1070325280353517568","1070325280353517568")</f>
        <v>1070325280353517568</v>
      </c>
      <c r="F1617" s="11"/>
      <c r="G1617" s="13" t="s">
        <v>6501</v>
      </c>
      <c r="H1617" s="11"/>
      <c r="I1617" s="14">
        <v>2</v>
      </c>
      <c r="J1617" s="14">
        <v>0</v>
      </c>
      <c r="K1617" s="15" t="str">
        <f t="shared" si="322"/>
        <v>Twitter for Android</v>
      </c>
      <c r="L1617" s="14">
        <v>15661</v>
      </c>
      <c r="M1617" s="14">
        <v>13805</v>
      </c>
      <c r="N1617" s="14">
        <v>93</v>
      </c>
      <c r="O1617" s="16"/>
      <c r="P1617" s="6">
        <v>41398.572731481479</v>
      </c>
      <c r="Q1617" s="11"/>
      <c r="R1617" s="17" t="s">
        <v>6502</v>
      </c>
      <c r="S1617" s="11"/>
      <c r="T1617" s="11"/>
      <c r="U1617" s="10" t="str">
        <f>HYPERLINK("https://pbs.twimg.com/profile_images/1062865623494131712/UmeE68Gq.jpg","View")</f>
        <v>View</v>
      </c>
    </row>
    <row r="1618" spans="1:21" ht="51">
      <c r="A1618" s="6">
        <v>43439.648136574076</v>
      </c>
      <c r="B1618" s="7" t="str">
        <f>HYPERLINK("https://twitter.com/GPinar_Pena","@GPinar_Pena")</f>
        <v>@GPinar_Pena</v>
      </c>
      <c r="C1618" s="8" t="s">
        <v>762</v>
      </c>
      <c r="D1618" s="9" t="s">
        <v>5364</v>
      </c>
      <c r="E1618" s="10" t="str">
        <f>HYPERLINK("https://twitter.com/GPinar_Pena/status/1070325246534844417","1070325246534844417")</f>
        <v>1070325246534844417</v>
      </c>
      <c r="F1618" s="11"/>
      <c r="G1618" s="11"/>
      <c r="H1618" s="11"/>
      <c r="I1618" s="14">
        <v>0</v>
      </c>
      <c r="J1618" s="14">
        <v>0</v>
      </c>
      <c r="K1618" s="15" t="str">
        <f t="shared" si="322"/>
        <v>Twitter for Android</v>
      </c>
      <c r="L1618" s="14">
        <v>878</v>
      </c>
      <c r="M1618" s="14">
        <v>1177</v>
      </c>
      <c r="N1618" s="14">
        <v>6</v>
      </c>
      <c r="O1618" s="16"/>
      <c r="P1618" s="6">
        <v>42687.487858796296</v>
      </c>
      <c r="Q1618" s="12" t="s">
        <v>187</v>
      </c>
      <c r="R1618" s="17" t="s">
        <v>767</v>
      </c>
      <c r="S1618" s="11"/>
      <c r="T1618" s="11"/>
      <c r="U1618" s="10" t="str">
        <f>HYPERLINK("https://pbs.twimg.com/profile_images/1040498387131539456/R3stIC89.jpg","View")</f>
        <v>View</v>
      </c>
    </row>
    <row r="1619" spans="1:21" ht="51">
      <c r="A1619" s="6">
        <v>43439.647361111114</v>
      </c>
      <c r="B1619" s="7" t="str">
        <f>HYPERLINK("https://twitter.com/Robertofr63","@Robertofr63")</f>
        <v>@Robertofr63</v>
      </c>
      <c r="C1619" s="8" t="s">
        <v>6505</v>
      </c>
      <c r="D1619" s="9" t="s">
        <v>6506</v>
      </c>
      <c r="E1619" s="10" t="str">
        <f>HYPERLINK("https://twitter.com/Robertofr63/status/1070324968699949056","1070324968699949056")</f>
        <v>1070324968699949056</v>
      </c>
      <c r="F1619" s="13" t="s">
        <v>6507</v>
      </c>
      <c r="G1619" s="11"/>
      <c r="H1619" s="11"/>
      <c r="I1619" s="14">
        <v>1</v>
      </c>
      <c r="J1619" s="14">
        <v>0</v>
      </c>
      <c r="K1619" s="15" t="str">
        <f t="shared" si="322"/>
        <v>Twitter for Android</v>
      </c>
      <c r="L1619" s="14">
        <v>466</v>
      </c>
      <c r="M1619" s="14">
        <v>934</v>
      </c>
      <c r="N1619" s="14">
        <v>25</v>
      </c>
      <c r="O1619" s="16"/>
      <c r="P1619" s="6">
        <v>41832.488506944443</v>
      </c>
      <c r="Q1619" s="12" t="s">
        <v>295</v>
      </c>
      <c r="R1619" s="17" t="s">
        <v>6508</v>
      </c>
      <c r="S1619" s="11"/>
      <c r="T1619" s="11"/>
      <c r="U1619" s="10" t="str">
        <f>HYPERLINK("https://pbs.twimg.com/profile_images/1054724363994439680/Q9KmDFhN.jpg","View")</f>
        <v>View</v>
      </c>
    </row>
    <row r="1620" spans="1:21" ht="30.6">
      <c r="A1620" s="6">
        <v>43439.646018518513</v>
      </c>
      <c r="B1620" s="7" t="str">
        <f>HYPERLINK("https://twitter.com/LaVanguardia","@LaVanguardia")</f>
        <v>@LaVanguardia</v>
      </c>
      <c r="C1620" s="8" t="s">
        <v>6509</v>
      </c>
      <c r="D1620" s="9" t="s">
        <v>6389</v>
      </c>
      <c r="E1620" s="10" t="str">
        <f>HYPERLINK("https://twitter.com/LaVanguardia/status/1070324481833480193","1070324481833480193")</f>
        <v>1070324481833480193</v>
      </c>
      <c r="F1620" s="13" t="s">
        <v>6390</v>
      </c>
      <c r="G1620" s="11"/>
      <c r="H1620" s="11"/>
      <c r="I1620" s="14">
        <v>0</v>
      </c>
      <c r="J1620" s="14">
        <v>1</v>
      </c>
      <c r="K1620" s="15" t="str">
        <f>HYPERLINK("http://www.lavanguardia.es","App publicación twits DGRID")</f>
        <v>App publicación twits DGRID</v>
      </c>
      <c r="L1620" s="14">
        <v>999501</v>
      </c>
      <c r="M1620" s="14">
        <v>524</v>
      </c>
      <c r="N1620" s="14">
        <v>12585</v>
      </c>
      <c r="O1620" s="19" t="s">
        <v>42</v>
      </c>
      <c r="P1620" s="6">
        <v>40071.664548611108</v>
      </c>
      <c r="Q1620" s="12" t="s">
        <v>83</v>
      </c>
      <c r="R1620" s="17" t="s">
        <v>6513</v>
      </c>
      <c r="S1620" s="13" t="s">
        <v>6515</v>
      </c>
      <c r="T1620" s="11"/>
      <c r="U1620" s="10" t="str">
        <f>HYPERLINK("https://pbs.twimg.com/profile_images/936873783721320448/6Q97S0pp.jpg","View")</f>
        <v>View</v>
      </c>
    </row>
    <row r="1621" spans="1:21" ht="30.6">
      <c r="A1621" s="6">
        <v>43439.645972222221</v>
      </c>
      <c r="B1621" s="7" t="str">
        <f>HYPERLINK("https://twitter.com/Nazaret6565","@Nazaret6565")</f>
        <v>@Nazaret6565</v>
      </c>
      <c r="C1621" s="8" t="s">
        <v>6516</v>
      </c>
      <c r="D1621" s="9" t="s">
        <v>6496</v>
      </c>
      <c r="E1621" s="10" t="str">
        <f>HYPERLINK("https://twitter.com/Nazaret6565/status/1070324464821391360","1070324464821391360")</f>
        <v>1070324464821391360</v>
      </c>
      <c r="F1621" s="11"/>
      <c r="G1621" s="11"/>
      <c r="H1621" s="11"/>
      <c r="I1621" s="14">
        <v>0</v>
      </c>
      <c r="J1621" s="14">
        <v>0</v>
      </c>
      <c r="K1621" s="15" t="str">
        <f t="shared" ref="K1621:K1622" si="323">HYPERLINK("http://twitter.com/download/android","Twitter for Android")</f>
        <v>Twitter for Android</v>
      </c>
      <c r="L1621" s="14">
        <v>228</v>
      </c>
      <c r="M1621" s="14">
        <v>313</v>
      </c>
      <c r="N1621" s="14">
        <v>8</v>
      </c>
      <c r="O1621" s="16"/>
      <c r="P1621" s="6">
        <v>41231.888796296298</v>
      </c>
      <c r="Q1621" s="12" t="s">
        <v>4257</v>
      </c>
      <c r="R1621" s="17" t="s">
        <v>6518</v>
      </c>
      <c r="S1621" s="13" t="s">
        <v>6519</v>
      </c>
      <c r="T1621" s="11"/>
      <c r="U1621" s="10" t="str">
        <f>HYPERLINK("https://pbs.twimg.com/profile_images/1027905106702950402/i7K1bkL7.jpg","View")</f>
        <v>View</v>
      </c>
    </row>
    <row r="1622" spans="1:21" ht="30.6">
      <c r="A1622" s="6">
        <v>43439.645601851851</v>
      </c>
      <c r="B1622" s="7" t="str">
        <f>HYPERLINK("https://twitter.com/Futbolupulo","@Futbolupulo")</f>
        <v>@Futbolupulo</v>
      </c>
      <c r="C1622" s="8" t="s">
        <v>5369</v>
      </c>
      <c r="D1622" s="9" t="s">
        <v>5370</v>
      </c>
      <c r="E1622" s="10" t="str">
        <f>HYPERLINK("https://twitter.com/Futbolupulo/status/1070324329374715905","1070324329374715905")</f>
        <v>1070324329374715905</v>
      </c>
      <c r="F1622" s="11"/>
      <c r="G1622" s="13" t="s">
        <v>5371</v>
      </c>
      <c r="H1622" s="11"/>
      <c r="I1622" s="14">
        <v>0</v>
      </c>
      <c r="J1622" s="14">
        <v>2</v>
      </c>
      <c r="K1622" s="15" t="str">
        <f t="shared" si="323"/>
        <v>Twitter for Android</v>
      </c>
      <c r="L1622" s="14">
        <v>183</v>
      </c>
      <c r="M1622" s="14">
        <v>280</v>
      </c>
      <c r="N1622" s="14">
        <v>0</v>
      </c>
      <c r="O1622" s="16"/>
      <c r="P1622" s="6">
        <v>43175.987083333333</v>
      </c>
      <c r="Q1622" s="11"/>
      <c r="R1622" s="17" t="s">
        <v>5372</v>
      </c>
      <c r="S1622" s="11"/>
      <c r="T1622" s="11"/>
      <c r="U1622" s="10" t="str">
        <f>HYPERLINK("https://pbs.twimg.com/profile_images/975463648687804417/HEZMv5Nz.jpg","View")</f>
        <v>View</v>
      </c>
    </row>
    <row r="1623" spans="1:21" ht="51">
      <c r="A1623" s="6">
        <v>43439.645254629635</v>
      </c>
      <c r="B1623" s="7" t="str">
        <f>HYPERLINK("https://twitter.com/SeRgioYry_RP","@SeRgioYry_RP")</f>
        <v>@SeRgioYry_RP</v>
      </c>
      <c r="C1623" s="8" t="s">
        <v>6525</v>
      </c>
      <c r="D1623" s="9" t="s">
        <v>6526</v>
      </c>
      <c r="E1623" s="10" t="str">
        <f>HYPERLINK("https://twitter.com/SeRgioYry_RP/status/1070324202585112577","1070324202585112577")</f>
        <v>1070324202585112577</v>
      </c>
      <c r="F1623" s="11"/>
      <c r="G1623" s="11"/>
      <c r="H1623" s="11"/>
      <c r="I1623" s="14">
        <v>0</v>
      </c>
      <c r="J1623" s="14">
        <v>1</v>
      </c>
      <c r="K1623" s="15" t="str">
        <f>HYPERLINK("http://twitter.com/download/iphone","Twitter for iPhone")</f>
        <v>Twitter for iPhone</v>
      </c>
      <c r="L1623" s="14">
        <v>249</v>
      </c>
      <c r="M1623" s="14">
        <v>127</v>
      </c>
      <c r="N1623" s="14">
        <v>1</v>
      </c>
      <c r="O1623" s="16"/>
      <c r="P1623" s="6">
        <v>41263.520810185189</v>
      </c>
      <c r="Q1623" s="12" t="s">
        <v>6530</v>
      </c>
      <c r="R1623" s="17" t="s">
        <v>6531</v>
      </c>
      <c r="S1623" s="11"/>
      <c r="T1623" s="11"/>
      <c r="U1623" s="10" t="str">
        <f>HYPERLINK("https://pbs.twimg.com/profile_images/1067375915167031296/hIvpo39X.jpg","View")</f>
        <v>View</v>
      </c>
    </row>
    <row r="1624" spans="1:21" ht="81.599999999999994">
      <c r="A1624" s="6">
        <v>43439.645196759258</v>
      </c>
      <c r="B1624" s="7" t="str">
        <f>HYPERLINK("https://twitter.com/JosVeloz","@JosVeloz")</f>
        <v>@JosVeloz</v>
      </c>
      <c r="C1624" s="8" t="s">
        <v>6532</v>
      </c>
      <c r="D1624" s="9" t="s">
        <v>6533</v>
      </c>
      <c r="E1624" s="10" t="str">
        <f>HYPERLINK("https://twitter.com/JosVeloz/status/1070324184339894273","1070324184339894273")</f>
        <v>1070324184339894273</v>
      </c>
      <c r="F1624" s="13" t="s">
        <v>3536</v>
      </c>
      <c r="G1624" s="13" t="s">
        <v>3537</v>
      </c>
      <c r="H1624" s="11"/>
      <c r="I1624" s="14">
        <v>5</v>
      </c>
      <c r="J1624" s="14">
        <v>4</v>
      </c>
      <c r="K1624" s="15" t="str">
        <f>HYPERLINK("http://twitter.com/download/android","Twitter for Android")</f>
        <v>Twitter for Android</v>
      </c>
      <c r="L1624" s="14">
        <v>378</v>
      </c>
      <c r="M1624" s="14">
        <v>292</v>
      </c>
      <c r="N1624" s="14">
        <v>5</v>
      </c>
      <c r="O1624" s="16"/>
      <c r="P1624" s="6">
        <v>40786.732361111113</v>
      </c>
      <c r="Q1624" s="12" t="s">
        <v>6535</v>
      </c>
      <c r="R1624" s="17" t="s">
        <v>6536</v>
      </c>
      <c r="S1624" s="11"/>
      <c r="T1624" s="11"/>
      <c r="U1624" s="10" t="str">
        <f>HYPERLINK("https://pbs.twimg.com/profile_images/495129277097324544/fNihaUb6.jpeg","View")</f>
        <v>View</v>
      </c>
    </row>
    <row r="1625" spans="1:21" ht="30.6">
      <c r="A1625" s="6">
        <v>43439.643090277779</v>
      </c>
      <c r="B1625" s="7" t="str">
        <f>HYPERLINK("https://twitter.com/PBMarbeMalaga","@PBMarbeMalaga")</f>
        <v>@PBMarbeMalaga</v>
      </c>
      <c r="C1625" s="8" t="s">
        <v>618</v>
      </c>
      <c r="D1625" s="9" t="s">
        <v>6537</v>
      </c>
      <c r="E1625" s="10" t="str">
        <f>HYPERLINK("https://twitter.com/PBMarbeMalaga/status/1070323417885347842","1070323417885347842")</f>
        <v>1070323417885347842</v>
      </c>
      <c r="F1625" s="13" t="s">
        <v>6538</v>
      </c>
      <c r="G1625" s="11"/>
      <c r="H1625" s="11"/>
      <c r="I1625" s="14">
        <v>0</v>
      </c>
      <c r="J1625" s="14">
        <v>0</v>
      </c>
      <c r="K1625" s="15" t="str">
        <f>HYPERLINK("https://javitang.ddns.net","PBMarbeMalaga")</f>
        <v>PBMarbeMalaga</v>
      </c>
      <c r="L1625" s="14">
        <v>1316</v>
      </c>
      <c r="M1625" s="14">
        <v>1358</v>
      </c>
      <c r="N1625" s="14">
        <v>2</v>
      </c>
      <c r="O1625" s="16"/>
      <c r="P1625" s="6">
        <v>43149.814074074078</v>
      </c>
      <c r="Q1625" s="12" t="s">
        <v>621</v>
      </c>
      <c r="R1625" s="17" t="s">
        <v>622</v>
      </c>
      <c r="S1625" s="11"/>
      <c r="T1625" s="11"/>
      <c r="U1625" s="10" t="str">
        <f>HYPERLINK("https://pbs.twimg.com/profile_images/965296691145531392/sAFnfUu2.jpg","View")</f>
        <v>View</v>
      </c>
    </row>
    <row r="1626" spans="1:21" ht="51">
      <c r="A1626" s="6">
        <v>43439.642430555556</v>
      </c>
      <c r="B1626" s="7" t="str">
        <f>HYPERLINK("https://twitter.com/UlisesGamez10","@UlisesGamez10")</f>
        <v>@UlisesGamez10</v>
      </c>
      <c r="C1626" s="8" t="s">
        <v>3569</v>
      </c>
      <c r="D1626" s="9" t="s">
        <v>5375</v>
      </c>
      <c r="E1626" s="10" t="str">
        <f>HYPERLINK("https://twitter.com/UlisesGamez10/status/1070323179342757889","1070323179342757889")</f>
        <v>1070323179342757889</v>
      </c>
      <c r="F1626" s="11"/>
      <c r="G1626" s="11"/>
      <c r="H1626" s="11"/>
      <c r="I1626" s="14">
        <v>4</v>
      </c>
      <c r="J1626" s="14">
        <v>0</v>
      </c>
      <c r="K1626" s="15" t="str">
        <f>HYPERLINK("http://twitter.com/download/android","Twitter for Android")</f>
        <v>Twitter for Android</v>
      </c>
      <c r="L1626" s="14">
        <v>1184</v>
      </c>
      <c r="M1626" s="14">
        <v>5002</v>
      </c>
      <c r="N1626" s="14">
        <v>0</v>
      </c>
      <c r="O1626" s="16"/>
      <c r="P1626" s="6">
        <v>43190.59783564815</v>
      </c>
      <c r="Q1626" s="12" t="s">
        <v>3571</v>
      </c>
      <c r="R1626" s="17" t="s">
        <v>3572</v>
      </c>
      <c r="S1626" s="11"/>
      <c r="T1626" s="11"/>
      <c r="U1626" s="10" t="str">
        <f>HYPERLINK("https://pbs.twimg.com/profile_images/1068881444196499456/MCgxp2WR.jpg","View")</f>
        <v>View</v>
      </c>
    </row>
    <row r="1627" spans="1:21" ht="20.399999999999999">
      <c r="A1627" s="6">
        <v>43439.64225694444</v>
      </c>
      <c r="B1627" s="7" t="str">
        <f>HYPERLINK("https://twitter.com/L20mOtros","@L20mOtros")</f>
        <v>@L20mOtros</v>
      </c>
      <c r="C1627" s="8" t="s">
        <v>6542</v>
      </c>
      <c r="D1627" s="9" t="s">
        <v>6491</v>
      </c>
      <c r="E1627" s="10" t="str">
        <f>HYPERLINK("https://twitter.com/L20mOtros/status/1070323116231065601","1070323116231065601")</f>
        <v>1070323116231065601</v>
      </c>
      <c r="F1627" s="13" t="s">
        <v>6543</v>
      </c>
      <c r="G1627" s="13" t="s">
        <v>6544</v>
      </c>
      <c r="H1627" s="11"/>
      <c r="I1627" s="14">
        <v>0</v>
      </c>
      <c r="J1627" s="14">
        <v>0</v>
      </c>
      <c r="K1627" s="15" t="str">
        <f>HYPERLINK("http://dogtrack.es","DogTrack_Oficial")</f>
        <v>DogTrack_Oficial</v>
      </c>
      <c r="L1627" s="14">
        <v>23</v>
      </c>
      <c r="M1627" s="14">
        <v>8</v>
      </c>
      <c r="N1627" s="14">
        <v>0</v>
      </c>
      <c r="O1627" s="16"/>
      <c r="P1627" s="6">
        <v>41285.602418981478</v>
      </c>
      <c r="Q1627" s="11"/>
      <c r="R1627" s="18"/>
      <c r="S1627" s="13" t="s">
        <v>6546</v>
      </c>
      <c r="T1627" s="11"/>
      <c r="U1627" s="10" t="str">
        <f>HYPERLINK("https://pbs.twimg.com/profile_images/3148562799/6854a445e373c5053b43f5c11d764b41.jpeg","View")</f>
        <v>View</v>
      </c>
    </row>
    <row r="1628" spans="1:21" ht="91.8">
      <c r="A1628" s="6">
        <v>43439.641817129625</v>
      </c>
      <c r="B1628" s="7" t="str">
        <f>HYPERLINK("https://twitter.com/portalrubiero","@portalrubiero")</f>
        <v>@portalrubiero</v>
      </c>
      <c r="C1628" s="8" t="s">
        <v>5379</v>
      </c>
      <c r="D1628" s="9" t="s">
        <v>5380</v>
      </c>
      <c r="E1628" s="10" t="str">
        <f>HYPERLINK("https://twitter.com/portalrubiero/status/1070322956876820485","1070322956876820485")</f>
        <v>1070322956876820485</v>
      </c>
      <c r="F1628" s="13" t="s">
        <v>1853</v>
      </c>
      <c r="G1628" s="13" t="s">
        <v>1835</v>
      </c>
      <c r="H1628" s="11"/>
      <c r="I1628" s="14">
        <v>0</v>
      </c>
      <c r="J1628" s="14">
        <v>0</v>
      </c>
      <c r="K1628" s="15" t="str">
        <f>HYPERLINK("http://twitter.com/download/android","Twitter for Android")</f>
        <v>Twitter for Android</v>
      </c>
      <c r="L1628" s="14">
        <v>261</v>
      </c>
      <c r="M1628" s="14">
        <v>236</v>
      </c>
      <c r="N1628" s="14">
        <v>10</v>
      </c>
      <c r="O1628" s="16"/>
      <c r="P1628" s="6">
        <v>40286.705011574071</v>
      </c>
      <c r="Q1628" s="12" t="s">
        <v>5382</v>
      </c>
      <c r="R1628" s="18"/>
      <c r="S1628" s="11"/>
      <c r="T1628" s="11"/>
      <c r="U1628" s="10" t="str">
        <f>HYPERLINK("https://pbs.twimg.com/profile_images/1907172797/00594.jpg","View")</f>
        <v>View</v>
      </c>
    </row>
    <row r="1629" spans="1:21" ht="51">
      <c r="A1629" s="6">
        <v>43439.640648148154</v>
      </c>
      <c r="B1629" s="7" t="str">
        <f>HYPERLINK("https://twitter.com/manueljjg","@manueljjg")</f>
        <v>@manueljjg</v>
      </c>
      <c r="C1629" s="8" t="s">
        <v>6552</v>
      </c>
      <c r="D1629" s="9" t="s">
        <v>6553</v>
      </c>
      <c r="E1629" s="10" t="str">
        <f>HYPERLINK("https://twitter.com/manueljjg/status/1070322534309089281","1070322534309089281")</f>
        <v>1070322534309089281</v>
      </c>
      <c r="F1629" s="13" t="s">
        <v>6554</v>
      </c>
      <c r="G1629" s="11"/>
      <c r="H1629" s="11"/>
      <c r="I1629" s="14">
        <v>0</v>
      </c>
      <c r="J1629" s="14">
        <v>0</v>
      </c>
      <c r="K1629" s="15" t="str">
        <f>HYPERLINK("http://www.facebook.com/twitter","Facebook")</f>
        <v>Facebook</v>
      </c>
      <c r="L1629" s="14">
        <v>164</v>
      </c>
      <c r="M1629" s="14">
        <v>196</v>
      </c>
      <c r="N1629" s="14">
        <v>6</v>
      </c>
      <c r="O1629" s="16"/>
      <c r="P1629" s="6">
        <v>41998.56013888889</v>
      </c>
      <c r="Q1629" s="11"/>
      <c r="R1629" s="18"/>
      <c r="S1629" s="11"/>
      <c r="T1629" s="11"/>
      <c r="U1629" s="10" t="str">
        <f>HYPERLINK("https://pbs.twimg.com/profile_images/685921563699474432/nkhtBFqK.jpg","View")</f>
        <v>View</v>
      </c>
    </row>
    <row r="1630" spans="1:21" ht="30.6">
      <c r="A1630" s="6">
        <v>43439.639733796299</v>
      </c>
      <c r="B1630" s="7" t="str">
        <f>HYPERLINK("https://twitter.com/_FernandoCruz","@_FernandoCruz")</f>
        <v>@_FernandoCruz</v>
      </c>
      <c r="C1630" s="8" t="s">
        <v>6557</v>
      </c>
      <c r="D1630" s="9" t="s">
        <v>6558</v>
      </c>
      <c r="E1630" s="10" t="str">
        <f>HYPERLINK("https://twitter.com/_FernandoCruz/status/1070322201356849152","1070322201356849152")</f>
        <v>1070322201356849152</v>
      </c>
      <c r="F1630" s="11"/>
      <c r="G1630" s="13" t="s">
        <v>6560</v>
      </c>
      <c r="H1630" s="11"/>
      <c r="I1630" s="14">
        <v>1</v>
      </c>
      <c r="J1630" s="14">
        <v>4</v>
      </c>
      <c r="K1630" s="15" t="str">
        <f>HYPERLINK("http://twitter.com/download/android","Twitter for Android")</f>
        <v>Twitter for Android</v>
      </c>
      <c r="L1630" s="14">
        <v>1034</v>
      </c>
      <c r="M1630" s="14">
        <v>112</v>
      </c>
      <c r="N1630" s="14">
        <v>6</v>
      </c>
      <c r="O1630" s="16"/>
      <c r="P1630" s="6">
        <v>42461.444120370375</v>
      </c>
      <c r="Q1630" s="12" t="s">
        <v>187</v>
      </c>
      <c r="R1630" s="17" t="s">
        <v>6561</v>
      </c>
      <c r="S1630" s="11"/>
      <c r="T1630" s="11"/>
      <c r="U1630" s="10" t="str">
        <f>HYPERLINK("https://pbs.twimg.com/profile_images/1035351030186352645/UzSroXcV.jpg","View")</f>
        <v>View</v>
      </c>
    </row>
    <row r="1631" spans="1:21" ht="40.799999999999997">
      <c r="A1631" s="6">
        <v>43439.637569444443</v>
      </c>
      <c r="B1631" s="7" t="str">
        <f>HYPERLINK("https://twitter.com/cultrun","@cultrun")</f>
        <v>@cultrun</v>
      </c>
      <c r="C1631" s="8" t="s">
        <v>6565</v>
      </c>
      <c r="D1631" s="9" t="s">
        <v>4065</v>
      </c>
      <c r="E1631" s="10" t="str">
        <f>HYPERLINK("https://twitter.com/cultrun/status/1070321417143635968","1070321417143635968")</f>
        <v>1070321417143635968</v>
      </c>
      <c r="F1631" s="13" t="s">
        <v>3869</v>
      </c>
      <c r="G1631" s="11"/>
      <c r="H1631" s="11"/>
      <c r="I1631" s="14">
        <v>13</v>
      </c>
      <c r="J1631" s="14">
        <v>29</v>
      </c>
      <c r="K1631" s="15" t="str">
        <f t="shared" ref="K1631:K1632" si="324">HYPERLINK("http://twitter.com","Twitter Web Client")</f>
        <v>Twitter Web Client</v>
      </c>
      <c r="L1631" s="14">
        <v>48995</v>
      </c>
      <c r="M1631" s="14">
        <v>2886</v>
      </c>
      <c r="N1631" s="14">
        <v>1281</v>
      </c>
      <c r="O1631" s="16"/>
      <c r="P1631" s="6">
        <v>39861.860497685186</v>
      </c>
      <c r="Q1631" s="12" t="s">
        <v>6568</v>
      </c>
      <c r="R1631" s="17" t="s">
        <v>6569</v>
      </c>
      <c r="S1631" s="13" t="s">
        <v>6570</v>
      </c>
      <c r="T1631" s="11"/>
      <c r="U1631" s="10" t="str">
        <f>HYPERLINK("https://pbs.twimg.com/profile_images/1017450243917598720/d4pMoQHM.jpg","View")</f>
        <v>View</v>
      </c>
    </row>
    <row r="1632" spans="1:21" ht="51">
      <c r="A1632" s="6">
        <v>43439.637499999997</v>
      </c>
      <c r="B1632" s="7" t="str">
        <f>HYPERLINK("https://twitter.com/Luisa04876630","@Luisa04876630")</f>
        <v>@Luisa04876630</v>
      </c>
      <c r="C1632" s="8" t="s">
        <v>789</v>
      </c>
      <c r="D1632" s="9" t="s">
        <v>5385</v>
      </c>
      <c r="E1632" s="10" t="str">
        <f>HYPERLINK("https://twitter.com/Luisa04876630/status/1070321394649612289","1070321394649612289")</f>
        <v>1070321394649612289</v>
      </c>
      <c r="F1632" s="11"/>
      <c r="G1632" s="11"/>
      <c r="H1632" s="11"/>
      <c r="I1632" s="14">
        <v>0</v>
      </c>
      <c r="J1632" s="14">
        <v>0</v>
      </c>
      <c r="K1632" s="15" t="str">
        <f t="shared" si="324"/>
        <v>Twitter Web Client</v>
      </c>
      <c r="L1632" s="14">
        <v>11</v>
      </c>
      <c r="M1632" s="14">
        <v>40</v>
      </c>
      <c r="N1632" s="14">
        <v>0</v>
      </c>
      <c r="O1632" s="16"/>
      <c r="P1632" s="6">
        <v>43437.384305555555</v>
      </c>
      <c r="Q1632" s="11"/>
      <c r="R1632" s="18"/>
      <c r="S1632" s="11"/>
      <c r="T1632" s="11"/>
      <c r="U1632" s="10" t="str">
        <f>HYPERLINK("https://pbs.twimg.com/profile_images/1069505386787553281/EVqXpfFW.jpg","View")</f>
        <v>View</v>
      </c>
    </row>
    <row r="1633" spans="1:21" ht="51">
      <c r="A1633" s="6">
        <v>43439.636689814812</v>
      </c>
      <c r="B1633" s="7" t="str">
        <f>HYPERLINK("https://twitter.com/manueljjg","@manueljjg")</f>
        <v>@manueljjg</v>
      </c>
      <c r="C1633" s="8" t="s">
        <v>6552</v>
      </c>
      <c r="D1633" s="9" t="s">
        <v>6576</v>
      </c>
      <c r="E1633" s="10" t="str">
        <f>HYPERLINK("https://twitter.com/manueljjg/status/1070321099555115013","1070321099555115013")</f>
        <v>1070321099555115013</v>
      </c>
      <c r="F1633" s="13" t="s">
        <v>6577</v>
      </c>
      <c r="G1633" s="11"/>
      <c r="H1633" s="11"/>
      <c r="I1633" s="14">
        <v>0</v>
      </c>
      <c r="J1633" s="14">
        <v>0</v>
      </c>
      <c r="K1633" s="15" t="str">
        <f>HYPERLINK("http://www.facebook.com/twitter","Facebook")</f>
        <v>Facebook</v>
      </c>
      <c r="L1633" s="14">
        <v>164</v>
      </c>
      <c r="M1633" s="14">
        <v>196</v>
      </c>
      <c r="N1633" s="14">
        <v>6</v>
      </c>
      <c r="O1633" s="16"/>
      <c r="P1633" s="6">
        <v>41998.56013888889</v>
      </c>
      <c r="Q1633" s="11"/>
      <c r="R1633" s="18"/>
      <c r="S1633" s="11"/>
      <c r="T1633" s="11"/>
      <c r="U1633" s="10" t="str">
        <f>HYPERLINK("https://pbs.twimg.com/profile_images/685921563699474432/nkhtBFqK.jpg","View")</f>
        <v>View</v>
      </c>
    </row>
    <row r="1634" spans="1:21" ht="40.799999999999997">
      <c r="A1634" s="6">
        <v>43439.636550925927</v>
      </c>
      <c r="B1634" s="7" t="str">
        <f>HYPERLINK("https://twitter.com/unapedra","@unapedra")</f>
        <v>@unapedra</v>
      </c>
      <c r="C1634" s="8" t="s">
        <v>6581</v>
      </c>
      <c r="D1634" s="9" t="s">
        <v>6582</v>
      </c>
      <c r="E1634" s="10" t="str">
        <f>HYPERLINK("https://twitter.com/unapedra/status/1070321049915547648","1070321049915547648")</f>
        <v>1070321049915547648</v>
      </c>
      <c r="F1634" s="11"/>
      <c r="G1634" s="13" t="s">
        <v>6585</v>
      </c>
      <c r="H1634" s="11"/>
      <c r="I1634" s="14">
        <v>0</v>
      </c>
      <c r="J1634" s="14">
        <v>2</v>
      </c>
      <c r="K1634" s="15" t="str">
        <f>HYPERLINK("http://twitter.com/download/android","Twitter for Android")</f>
        <v>Twitter for Android</v>
      </c>
      <c r="L1634" s="14">
        <v>487</v>
      </c>
      <c r="M1634" s="14">
        <v>798</v>
      </c>
      <c r="N1634" s="14">
        <v>13</v>
      </c>
      <c r="O1634" s="16"/>
      <c r="P1634" s="6">
        <v>40639.946180555555</v>
      </c>
      <c r="Q1634" s="12" t="s">
        <v>581</v>
      </c>
      <c r="R1634" s="17" t="s">
        <v>6586</v>
      </c>
      <c r="S1634" s="13" t="s">
        <v>6587</v>
      </c>
      <c r="T1634" s="11"/>
      <c r="U1634" s="10" t="str">
        <f>HYPERLINK("https://pbs.twimg.com/profile_images/925737546788818944/65pVAxFj.jpg","View")</f>
        <v>View</v>
      </c>
    </row>
    <row r="1635" spans="1:21" ht="51">
      <c r="A1635" s="6">
        <v>43439.635613425926</v>
      </c>
      <c r="B1635" s="7" t="str">
        <f>HYPERLINK("https://twitter.com/MaximoDalmau","@MaximoDalmau")</f>
        <v>@MaximoDalmau</v>
      </c>
      <c r="C1635" s="8" t="s">
        <v>5386</v>
      </c>
      <c r="D1635" s="9" t="s">
        <v>5387</v>
      </c>
      <c r="E1635" s="10" t="str">
        <f>HYPERLINK("https://twitter.com/MaximoDalmau/status/1070320710994808832","1070320710994808832")</f>
        <v>1070320710994808832</v>
      </c>
      <c r="F1635" s="11"/>
      <c r="G1635" s="11"/>
      <c r="H1635" s="11"/>
      <c r="I1635" s="14">
        <v>0</v>
      </c>
      <c r="J1635" s="14">
        <v>0</v>
      </c>
      <c r="K1635" s="15" t="str">
        <f>HYPERLINK("https://mobile.twitter.com","Twitter Lite")</f>
        <v>Twitter Lite</v>
      </c>
      <c r="L1635" s="14">
        <v>143</v>
      </c>
      <c r="M1635" s="14">
        <v>37</v>
      </c>
      <c r="N1635" s="14">
        <v>26</v>
      </c>
      <c r="O1635" s="16"/>
      <c r="P1635" s="6">
        <v>41203.396064814813</v>
      </c>
      <c r="Q1635" s="12" t="s">
        <v>5388</v>
      </c>
      <c r="R1635" s="17" t="s">
        <v>5389</v>
      </c>
      <c r="S1635" s="13" t="s">
        <v>5390</v>
      </c>
      <c r="T1635" s="11"/>
      <c r="U1635" s="10" t="str">
        <f>HYPERLINK("https://pbs.twimg.com/profile_images/782419042367836160/tKHe1tK6.jpg","View")</f>
        <v>View</v>
      </c>
    </row>
    <row r="1636" spans="1:21" ht="30.6">
      <c r="A1636" s="6">
        <v>43439.633530092593</v>
      </c>
      <c r="B1636" s="7" t="str">
        <f>HYPERLINK("https://twitter.com/Migueliito_16","@Migueliito_16")</f>
        <v>@Migueliito_16</v>
      </c>
      <c r="C1636" s="8" t="s">
        <v>5391</v>
      </c>
      <c r="D1636" s="9" t="s">
        <v>5392</v>
      </c>
      <c r="E1636" s="10" t="str">
        <f>HYPERLINK("https://twitter.com/Migueliito_16/status/1070319954023596032","1070319954023596032")</f>
        <v>1070319954023596032</v>
      </c>
      <c r="F1636" s="12" t="s">
        <v>5393</v>
      </c>
      <c r="G1636" s="13" t="s">
        <v>5394</v>
      </c>
      <c r="H1636" s="11"/>
      <c r="I1636" s="14">
        <v>0</v>
      </c>
      <c r="J1636" s="14">
        <v>0</v>
      </c>
      <c r="K1636" s="15" t="str">
        <f>HYPERLINK("http://twitter.com/download/iphone","Twitter for iPhone")</f>
        <v>Twitter for iPhone</v>
      </c>
      <c r="L1636" s="14">
        <v>498</v>
      </c>
      <c r="M1636" s="14">
        <v>287</v>
      </c>
      <c r="N1636" s="14">
        <v>16</v>
      </c>
      <c r="O1636" s="16"/>
      <c r="P1636" s="6">
        <v>40530.793900462959</v>
      </c>
      <c r="Q1636" s="12" t="s">
        <v>60</v>
      </c>
      <c r="R1636" s="17" t="s">
        <v>5395</v>
      </c>
      <c r="S1636" s="11"/>
      <c r="T1636" s="11"/>
      <c r="U1636" s="10" t="str">
        <f>HYPERLINK("https://pbs.twimg.com/profile_images/1022517627741196288/-RPzqXqQ.jpg","View")</f>
        <v>View</v>
      </c>
    </row>
    <row r="1637" spans="1:21" ht="40.799999999999997">
      <c r="A1637" s="6">
        <v>43439.633090277777</v>
      </c>
      <c r="B1637" s="7" t="str">
        <f>HYPERLINK("https://twitter.com/alteranosorion","@alteranosorion")</f>
        <v>@alteranosorion</v>
      </c>
      <c r="C1637" s="8" t="s">
        <v>4123</v>
      </c>
      <c r="D1637" s="9" t="s">
        <v>5396</v>
      </c>
      <c r="E1637" s="10" t="str">
        <f>HYPERLINK("https://twitter.com/alteranosorion/status/1070319797307695105","1070319797307695105")</f>
        <v>1070319797307695105</v>
      </c>
      <c r="F1637" s="13" t="s">
        <v>5397</v>
      </c>
      <c r="G1637" s="11"/>
      <c r="H1637" s="11"/>
      <c r="I1637" s="14">
        <v>0</v>
      </c>
      <c r="J1637" s="14">
        <v>0</v>
      </c>
      <c r="K1637" s="15" t="str">
        <f>HYPERLINK("http://twitter.com/download/android","Twitter for Android")</f>
        <v>Twitter for Android</v>
      </c>
      <c r="L1637" s="14">
        <v>1338</v>
      </c>
      <c r="M1637" s="14">
        <v>1664</v>
      </c>
      <c r="N1637" s="14">
        <v>6</v>
      </c>
      <c r="O1637" s="16"/>
      <c r="P1637" s="6">
        <v>41960.683101851857</v>
      </c>
      <c r="Q1637" s="12" t="s">
        <v>2909</v>
      </c>
      <c r="R1637" s="17" t="s">
        <v>4130</v>
      </c>
      <c r="S1637" s="11"/>
      <c r="T1637" s="11"/>
      <c r="U1637" s="10" t="str">
        <f>HYPERLINK("https://pbs.twimg.com/profile_images/898864713571983360/oHJhL4AK.jpg","View")</f>
        <v>View</v>
      </c>
    </row>
    <row r="1638" spans="1:21" ht="51">
      <c r="A1638" s="6">
        <v>43439.631712962961</v>
      </c>
      <c r="B1638" s="7" t="str">
        <f>HYPERLINK("https://twitter.com/escipion2003","@escipion2003")</f>
        <v>@escipion2003</v>
      </c>
      <c r="C1638" s="8" t="s">
        <v>5401</v>
      </c>
      <c r="D1638" s="9" t="s">
        <v>5402</v>
      </c>
      <c r="E1638" s="10" t="str">
        <f>HYPERLINK("https://twitter.com/escipion2003/status/1070319297682116609","1070319297682116609")</f>
        <v>1070319297682116609</v>
      </c>
      <c r="F1638" s="11"/>
      <c r="G1638" s="13" t="s">
        <v>5403</v>
      </c>
      <c r="H1638" s="11"/>
      <c r="I1638" s="14">
        <v>3</v>
      </c>
      <c r="J1638" s="14">
        <v>4</v>
      </c>
      <c r="K1638" s="15" t="str">
        <f>HYPERLINK("http://twitter.com/download/iphone","Twitter for iPhone")</f>
        <v>Twitter for iPhone</v>
      </c>
      <c r="L1638" s="14">
        <v>3682</v>
      </c>
      <c r="M1638" s="14">
        <v>2488</v>
      </c>
      <c r="N1638" s="14">
        <v>45</v>
      </c>
      <c r="O1638" s="16"/>
      <c r="P1638" s="6">
        <v>40374.851585648146</v>
      </c>
      <c r="Q1638" s="12" t="s">
        <v>137</v>
      </c>
      <c r="R1638" s="17" t="s">
        <v>5404</v>
      </c>
      <c r="S1638" s="11"/>
      <c r="T1638" s="11"/>
      <c r="U1638" s="10" t="str">
        <f>HYPERLINK("https://pbs.twimg.com/profile_images/1043817176996745217/KqNXcluK.jpg","View")</f>
        <v>View</v>
      </c>
    </row>
    <row r="1639" spans="1:21" ht="71.400000000000006">
      <c r="A1639" s="6">
        <v>43439.631168981483</v>
      </c>
      <c r="B1639" s="7" t="str">
        <f>HYPERLINK("https://twitter.com/Gusiluz2013","@Gusiluz2013")</f>
        <v>@Gusiluz2013</v>
      </c>
      <c r="C1639" s="8" t="s">
        <v>6601</v>
      </c>
      <c r="D1639" s="9" t="s">
        <v>6602</v>
      </c>
      <c r="E1639" s="10" t="str">
        <f>HYPERLINK("https://twitter.com/Gusiluz2013/status/1070319097286680577","1070319097286680577")</f>
        <v>1070319097286680577</v>
      </c>
      <c r="F1639" s="12" t="s">
        <v>6604</v>
      </c>
      <c r="G1639" s="13" t="s">
        <v>6605</v>
      </c>
      <c r="H1639" s="11"/>
      <c r="I1639" s="14">
        <v>1</v>
      </c>
      <c r="J1639" s="14">
        <v>1</v>
      </c>
      <c r="K1639" s="15" t="str">
        <f>HYPERLINK("http://twitter.com","Twitter Web Client")</f>
        <v>Twitter Web Client</v>
      </c>
      <c r="L1639" s="14">
        <v>62</v>
      </c>
      <c r="M1639" s="14">
        <v>58</v>
      </c>
      <c r="N1639" s="14">
        <v>1</v>
      </c>
      <c r="O1639" s="16"/>
      <c r="P1639" s="6">
        <v>41532.798564814817</v>
      </c>
      <c r="Q1639" s="12" t="s">
        <v>1785</v>
      </c>
      <c r="R1639" s="17" t="s">
        <v>6607</v>
      </c>
      <c r="S1639" s="11"/>
      <c r="T1639" s="11"/>
      <c r="U1639" s="10" t="str">
        <f>HYPERLINK("https://pbs.twimg.com/profile_images/1070225264578314240/Nfj9SRd_.jpg","View")</f>
        <v>View</v>
      </c>
    </row>
    <row r="1640" spans="1:21" ht="81.599999999999994">
      <c r="A1640" s="6">
        <v>43439.63009259259</v>
      </c>
      <c r="B1640" s="7" t="str">
        <f>HYPERLINK("https://twitter.com/LauraSeara","@LauraSeara")</f>
        <v>@LauraSeara</v>
      </c>
      <c r="C1640" s="8" t="s">
        <v>5413</v>
      </c>
      <c r="D1640" s="9" t="s">
        <v>5414</v>
      </c>
      <c r="E1640" s="10" t="str">
        <f>HYPERLINK("https://twitter.com/LauraSeara/status/1070318708923490305","1070318708923490305")</f>
        <v>1070318708923490305</v>
      </c>
      <c r="F1640" s="13" t="s">
        <v>5415</v>
      </c>
      <c r="G1640" s="13" t="s">
        <v>5416</v>
      </c>
      <c r="H1640" s="11"/>
      <c r="I1640" s="14">
        <v>32</v>
      </c>
      <c r="J1640" s="14">
        <v>32</v>
      </c>
      <c r="K1640" s="15" t="str">
        <f>HYPERLINK("http://twitter.com/download/iphone","Twitter for iPhone")</f>
        <v>Twitter for iPhone</v>
      </c>
      <c r="L1640" s="14">
        <v>10139</v>
      </c>
      <c r="M1640" s="14">
        <v>3172</v>
      </c>
      <c r="N1640" s="14">
        <v>294</v>
      </c>
      <c r="O1640" s="16"/>
      <c r="P1640" s="6">
        <v>40372.73028935185</v>
      </c>
      <c r="Q1640" s="12" t="s">
        <v>5417</v>
      </c>
      <c r="R1640" s="17" t="s">
        <v>5418</v>
      </c>
      <c r="S1640" s="13" t="s">
        <v>5419</v>
      </c>
      <c r="T1640" s="11"/>
      <c r="U1640" s="10" t="str">
        <f>HYPERLINK("https://pbs.twimg.com/profile_images/964260060624052224/T3707nTf.jpg","View")</f>
        <v>View</v>
      </c>
    </row>
    <row r="1641" spans="1:21" ht="51">
      <c r="A1641" s="6">
        <v>43439.629548611112</v>
      </c>
      <c r="B1641" s="7" t="str">
        <f>HYPERLINK("https://twitter.com/Albert_Rivera","@Albert_Rivera")</f>
        <v>@Albert_Rivera</v>
      </c>
      <c r="C1641" s="8" t="s">
        <v>443</v>
      </c>
      <c r="D1641" s="9" t="s">
        <v>6610</v>
      </c>
      <c r="E1641" s="10" t="str">
        <f>HYPERLINK("https://twitter.com/Albert_Rivera/status/1070318510604210176","1070318510604210176")</f>
        <v>1070318510604210176</v>
      </c>
      <c r="F1641" s="11"/>
      <c r="G1641" s="13" t="s">
        <v>1835</v>
      </c>
      <c r="H1641" s="11"/>
      <c r="I1641" s="14">
        <v>1457</v>
      </c>
      <c r="J1641" s="14">
        <v>2619</v>
      </c>
      <c r="K1641" s="15" t="str">
        <f>HYPERLINK("https://studio.twitter.com","Twitter Media Studio")</f>
        <v>Twitter Media Studio</v>
      </c>
      <c r="L1641" s="14">
        <v>1075808</v>
      </c>
      <c r="M1641" s="14">
        <v>2547</v>
      </c>
      <c r="N1641" s="14">
        <v>5114</v>
      </c>
      <c r="O1641" s="19" t="s">
        <v>42</v>
      </c>
      <c r="P1641" s="6">
        <v>40205.748171296298</v>
      </c>
      <c r="Q1641" s="12" t="s">
        <v>137</v>
      </c>
      <c r="R1641" s="17" t="s">
        <v>450</v>
      </c>
      <c r="S1641" s="13" t="s">
        <v>452</v>
      </c>
      <c r="T1641" s="11"/>
      <c r="U1641" s="10" t="str">
        <f>HYPERLINK("https://pbs.twimg.com/profile_images/1030708936779988993/RncDM4EZ.jpg","View")</f>
        <v>View</v>
      </c>
    </row>
    <row r="1642" spans="1:21" ht="81.599999999999994">
      <c r="A1642" s="6">
        <v>43439.628217592588</v>
      </c>
      <c r="B1642" s="7" t="str">
        <f>HYPERLINK("https://twitter.com/ClaraGragal","@ClaraGragal")</f>
        <v>@ClaraGragal</v>
      </c>
      <c r="C1642" s="8" t="s">
        <v>5424</v>
      </c>
      <c r="D1642" s="9" t="s">
        <v>5425</v>
      </c>
      <c r="E1642" s="10" t="str">
        <f>HYPERLINK("https://twitter.com/ClaraGragal/status/1070318030180282368","1070318030180282368")</f>
        <v>1070318030180282368</v>
      </c>
      <c r="F1642" s="13" t="s">
        <v>5428</v>
      </c>
      <c r="G1642" s="13" t="s">
        <v>5429</v>
      </c>
      <c r="H1642" s="11"/>
      <c r="I1642" s="14">
        <v>2</v>
      </c>
      <c r="J1642" s="14">
        <v>6</v>
      </c>
      <c r="K1642" s="15" t="str">
        <f>HYPERLINK("http://twitter.com/download/android","Twitter for Android")</f>
        <v>Twitter for Android</v>
      </c>
      <c r="L1642" s="14">
        <v>10</v>
      </c>
      <c r="M1642" s="14">
        <v>84</v>
      </c>
      <c r="N1642" s="14">
        <v>0</v>
      </c>
      <c r="O1642" s="16"/>
      <c r="P1642" s="6">
        <v>43042.525949074072</v>
      </c>
      <c r="Q1642" s="11"/>
      <c r="R1642" s="18"/>
      <c r="S1642" s="11"/>
      <c r="T1642" s="11"/>
      <c r="U1642" s="19" t="s">
        <v>629</v>
      </c>
    </row>
    <row r="1643" spans="1:21" ht="20.399999999999999">
      <c r="A1643" s="6">
        <v>43439.627800925926</v>
      </c>
      <c r="B1643" s="7" t="str">
        <f>HYPERLINK("https://twitter.com/web_hispanidad","@web_hispanidad")</f>
        <v>@web_hispanidad</v>
      </c>
      <c r="C1643" s="8" t="s">
        <v>6612</v>
      </c>
      <c r="D1643" s="9" t="s">
        <v>6613</v>
      </c>
      <c r="E1643" s="10" t="str">
        <f>HYPERLINK("https://twitter.com/web_hispanidad/status/1070317878048681984","1070317878048681984")</f>
        <v>1070317878048681984</v>
      </c>
      <c r="F1643" s="13" t="s">
        <v>6614</v>
      </c>
      <c r="G1643" s="11"/>
      <c r="H1643" s="11"/>
      <c r="I1643" s="14">
        <v>0</v>
      </c>
      <c r="J1643" s="14">
        <v>0</v>
      </c>
      <c r="K1643" s="15" t="str">
        <f>HYPERLINK("http://www.wearebab.com","Comitium5 BAB")</f>
        <v>Comitium5 BAB</v>
      </c>
      <c r="L1643" s="14">
        <v>7616</v>
      </c>
      <c r="M1643" s="14">
        <v>3846</v>
      </c>
      <c r="N1643" s="14">
        <v>212</v>
      </c>
      <c r="O1643" s="16"/>
      <c r="P1643" s="6">
        <v>40274.553935185184</v>
      </c>
      <c r="Q1643" s="12" t="s">
        <v>119</v>
      </c>
      <c r="R1643" s="17" t="s">
        <v>6615</v>
      </c>
      <c r="S1643" s="13" t="s">
        <v>6616</v>
      </c>
      <c r="T1643" s="11"/>
      <c r="U1643" s="10" t="str">
        <f>HYPERLINK("https://pbs.twimg.com/profile_images/841028223/logo_H.gif","View")</f>
        <v>View</v>
      </c>
    </row>
    <row r="1644" spans="1:21" ht="51">
      <c r="A1644" s="6">
        <v>43439.627245370371</v>
      </c>
      <c r="B1644" s="7" t="str">
        <f>HYPERLINK("https://twitter.com/Dadell79","@Dadell79")</f>
        <v>@Dadell79</v>
      </c>
      <c r="C1644" s="8" t="s">
        <v>5431</v>
      </c>
      <c r="D1644" s="9" t="s">
        <v>5433</v>
      </c>
      <c r="E1644" s="10" t="str">
        <f>HYPERLINK("https://twitter.com/Dadell79/status/1070317678072610816","1070317678072610816")</f>
        <v>1070317678072610816</v>
      </c>
      <c r="F1644" s="11"/>
      <c r="G1644" s="11"/>
      <c r="H1644" s="11"/>
      <c r="I1644" s="14">
        <v>19</v>
      </c>
      <c r="J1644" s="14">
        <v>14</v>
      </c>
      <c r="K1644" s="15" t="str">
        <f>HYPERLINK("http://twitter.com/download/iphone","Twitter for iPhone")</f>
        <v>Twitter for iPhone</v>
      </c>
      <c r="L1644" s="14">
        <v>381</v>
      </c>
      <c r="M1644" s="14">
        <v>1016</v>
      </c>
      <c r="N1644" s="14">
        <v>0</v>
      </c>
      <c r="O1644" s="16"/>
      <c r="P1644" s="6">
        <v>42648.662361111114</v>
      </c>
      <c r="Q1644" s="12" t="s">
        <v>5434</v>
      </c>
      <c r="R1644" s="17" t="s">
        <v>5435</v>
      </c>
      <c r="S1644" s="11"/>
      <c r="T1644" s="11"/>
      <c r="U1644" s="10" t="str">
        <f>HYPERLINK("https://pbs.twimg.com/profile_images/968961806042624000/1055quyy.jpg","View")</f>
        <v>View</v>
      </c>
    </row>
    <row r="1645" spans="1:21" ht="40.799999999999997">
      <c r="A1645" s="6">
        <v>43439.625023148154</v>
      </c>
      <c r="B1645" s="7" t="str">
        <f>HYPERLINK("https://twitter.com/chuipasbourre","@chuipasbourre")</f>
        <v>@chuipasbourre</v>
      </c>
      <c r="C1645" s="8" t="s">
        <v>5436</v>
      </c>
      <c r="D1645" s="9" t="s">
        <v>5437</v>
      </c>
      <c r="E1645" s="10" t="str">
        <f>HYPERLINK("https://twitter.com/chuipasbourre/status/1070316872598515712","1070316872598515712")</f>
        <v>1070316872598515712</v>
      </c>
      <c r="F1645" s="11"/>
      <c r="G1645" s="13" t="s">
        <v>5438</v>
      </c>
      <c r="H1645" s="11"/>
      <c r="I1645" s="14">
        <v>0</v>
      </c>
      <c r="J1645" s="14">
        <v>0</v>
      </c>
      <c r="K1645" s="15" t="str">
        <f>HYPERLINK("http://www.alkihis.fr","Bourrifier")</f>
        <v>Bourrifier</v>
      </c>
      <c r="L1645" s="14">
        <v>50</v>
      </c>
      <c r="M1645" s="14">
        <v>0</v>
      </c>
      <c r="N1645" s="14">
        <v>1</v>
      </c>
      <c r="O1645" s="16"/>
      <c r="P1645" s="6">
        <v>41284.811342592591</v>
      </c>
      <c r="Q1645" s="11"/>
      <c r="R1645" s="17" t="s">
        <v>5439</v>
      </c>
      <c r="S1645" s="11"/>
      <c r="T1645" s="11"/>
      <c r="U1645" s="10" t="str">
        <f>HYPERLINK("https://pbs.twimg.com/profile_images/952619722947940354/GfQJXSoE.jpg","View")</f>
        <v>View</v>
      </c>
    </row>
    <row r="1646" spans="1:21" ht="51">
      <c r="A1646" s="6">
        <v>43439.625</v>
      </c>
      <c r="B1646" s="7" t="str">
        <f>HYPERLINK("https://twitter.com/Hora_Digital","@Hora_Digital")</f>
        <v>@Hora_Digital</v>
      </c>
      <c r="C1646" s="8" t="s">
        <v>5442</v>
      </c>
      <c r="D1646" s="9" t="s">
        <v>5443</v>
      </c>
      <c r="E1646" s="10" t="str">
        <f>HYPERLINK("https://twitter.com/Hora_Digital/status/1070316864230821889","1070316864230821889")</f>
        <v>1070316864230821889</v>
      </c>
      <c r="F1646" s="13" t="s">
        <v>5444</v>
      </c>
      <c r="G1646" s="11"/>
      <c r="H1646" s="11"/>
      <c r="I1646" s="14">
        <v>1</v>
      </c>
      <c r="J1646" s="14">
        <v>2</v>
      </c>
      <c r="K1646" s="15" t="str">
        <f>HYPERLINK("https://about.twitter.com/products/tweetdeck","TweetDeck")</f>
        <v>TweetDeck</v>
      </c>
      <c r="L1646" s="14">
        <v>1283</v>
      </c>
      <c r="M1646" s="14">
        <v>620</v>
      </c>
      <c r="N1646" s="14">
        <v>12</v>
      </c>
      <c r="O1646" s="16"/>
      <c r="P1646" s="6">
        <v>43368.579155092593</v>
      </c>
      <c r="Q1646" s="11"/>
      <c r="R1646" s="17" t="s">
        <v>5446</v>
      </c>
      <c r="S1646" s="13" t="s">
        <v>5447</v>
      </c>
      <c r="T1646" s="11"/>
      <c r="U1646" s="10" t="str">
        <f>HYPERLINK("https://pbs.twimg.com/profile_images/1064472981265616896/aBiJQ8gu.jpg","View")</f>
        <v>View</v>
      </c>
    </row>
    <row r="1647" spans="1:21" ht="30.6">
      <c r="A1647" s="6">
        <v>43439.624976851846</v>
      </c>
      <c r="B1647" s="7" t="str">
        <f>HYPERLINK("https://twitter.com/Monsesgar","@Monsesgar")</f>
        <v>@Monsesgar</v>
      </c>
      <c r="C1647" s="8" t="s">
        <v>5451</v>
      </c>
      <c r="D1647" s="9" t="s">
        <v>5452</v>
      </c>
      <c r="E1647" s="10" t="str">
        <f>HYPERLINK("https://twitter.com/Monsesgar/status/1070316855297040384","1070316855297040384")</f>
        <v>1070316855297040384</v>
      </c>
      <c r="F1647" s="13" t="s">
        <v>5455</v>
      </c>
      <c r="G1647" s="11"/>
      <c r="H1647" s="11"/>
      <c r="I1647" s="14">
        <v>0</v>
      </c>
      <c r="J1647" s="14">
        <v>0</v>
      </c>
      <c r="K1647" s="15" t="str">
        <f>HYPERLINK("http://twitter.com/download/iphone","Twitter for iPhone")</f>
        <v>Twitter for iPhone</v>
      </c>
      <c r="L1647" s="14">
        <v>621</v>
      </c>
      <c r="M1647" s="14">
        <v>794</v>
      </c>
      <c r="N1647" s="14">
        <v>42</v>
      </c>
      <c r="O1647" s="16"/>
      <c r="P1647" s="6">
        <v>42650.697743055556</v>
      </c>
      <c r="Q1647" s="11"/>
      <c r="R1647" s="18"/>
      <c r="S1647" s="11"/>
      <c r="T1647" s="11"/>
      <c r="U1647" s="10" t="str">
        <f>HYPERLINK("https://pbs.twimg.com/profile_images/784408830297899008/GxxTkfZv.jpg","View")</f>
        <v>View</v>
      </c>
    </row>
    <row r="1648" spans="1:21" ht="40.799999999999997">
      <c r="A1648" s="6">
        <v>43439.62363425926</v>
      </c>
      <c r="B1648" s="7" t="str">
        <f>HYPERLINK("https://twitter.com/Evangewis","@Evangewis")</f>
        <v>@Evangewis</v>
      </c>
      <c r="C1648" s="8" t="s">
        <v>5456</v>
      </c>
      <c r="D1648" s="9" t="s">
        <v>5457</v>
      </c>
      <c r="E1648" s="10" t="str">
        <f>HYPERLINK("https://twitter.com/Evangewis/status/1070316367969169408","1070316367969169408")</f>
        <v>1070316367969169408</v>
      </c>
      <c r="F1648" s="12" t="s">
        <v>5460</v>
      </c>
      <c r="G1648" s="11"/>
      <c r="H1648" s="11"/>
      <c r="I1648" s="14">
        <v>0</v>
      </c>
      <c r="J1648" s="14">
        <v>0</v>
      </c>
      <c r="K1648" s="15" t="str">
        <f t="shared" ref="K1648:K1651" si="325">HYPERLINK("http://twitter.com","Twitter Web Client")</f>
        <v>Twitter Web Client</v>
      </c>
      <c r="L1648" s="14">
        <v>108</v>
      </c>
      <c r="M1648" s="14">
        <v>518</v>
      </c>
      <c r="N1648" s="14">
        <v>1</v>
      </c>
      <c r="O1648" s="16"/>
      <c r="P1648" s="6">
        <v>40759.560983796298</v>
      </c>
      <c r="Q1648" s="11"/>
      <c r="R1648" s="17" t="s">
        <v>5462</v>
      </c>
      <c r="S1648" s="11"/>
      <c r="T1648" s="11"/>
      <c r="U1648" s="10" t="str">
        <f>HYPERLINK("https://pbs.twimg.com/profile_images/860057432487276545/fIKAwv0p.jpg","View")</f>
        <v>View</v>
      </c>
    </row>
    <row r="1649" spans="1:21" ht="40.799999999999997">
      <c r="A1649" s="6">
        <v>43439.623252314814</v>
      </c>
      <c r="B1649" s="7" t="str">
        <f>HYPERLINK("https://twitter.com/mgicafe","@mgicafe")</f>
        <v>@mgicafe</v>
      </c>
      <c r="C1649" s="8" t="s">
        <v>6629</v>
      </c>
      <c r="D1649" s="9" t="s">
        <v>6630</v>
      </c>
      <c r="E1649" s="10" t="str">
        <f>HYPERLINK("https://twitter.com/mgicafe/status/1070316230039490560","1070316230039490560")</f>
        <v>1070316230039490560</v>
      </c>
      <c r="F1649" s="13" t="s">
        <v>6633</v>
      </c>
      <c r="G1649" s="11"/>
      <c r="H1649" s="11"/>
      <c r="I1649" s="14">
        <v>3</v>
      </c>
      <c r="J1649" s="14">
        <v>1</v>
      </c>
      <c r="K1649" s="15" t="str">
        <f t="shared" si="325"/>
        <v>Twitter Web Client</v>
      </c>
      <c r="L1649" s="14">
        <v>4740</v>
      </c>
      <c r="M1649" s="14">
        <v>2983</v>
      </c>
      <c r="N1649" s="14">
        <v>64</v>
      </c>
      <c r="O1649" s="16"/>
      <c r="P1649" s="6">
        <v>40642.780624999999</v>
      </c>
      <c r="Q1649" s="12" t="s">
        <v>6635</v>
      </c>
      <c r="R1649" s="17" t="s">
        <v>6636</v>
      </c>
      <c r="S1649" s="13" t="s">
        <v>6637</v>
      </c>
      <c r="T1649" s="11"/>
      <c r="U1649" s="10" t="str">
        <f>HYPERLINK("https://pbs.twimg.com/profile_images/1069643366818820101/Yspt65rD.jpg","View")</f>
        <v>View</v>
      </c>
    </row>
    <row r="1650" spans="1:21" ht="51">
      <c r="A1650" s="6">
        <v>43439.623032407406</v>
      </c>
      <c r="B1650" s="7" t="str">
        <f>HYPERLINK("https://twitter.com/jmguzmanocon","@jmguzmanocon")</f>
        <v>@jmguzmanocon</v>
      </c>
      <c r="C1650" s="8" t="s">
        <v>71</v>
      </c>
      <c r="D1650" s="9" t="s">
        <v>5464</v>
      </c>
      <c r="E1650" s="10" t="str">
        <f>HYPERLINK("https://twitter.com/jmguzmanocon/status/1070316150125457408","1070316150125457408")</f>
        <v>1070316150125457408</v>
      </c>
      <c r="F1650" s="13" t="s">
        <v>5467</v>
      </c>
      <c r="G1650" s="11"/>
      <c r="H1650" s="11"/>
      <c r="I1650" s="14">
        <v>0</v>
      </c>
      <c r="J1650" s="14">
        <v>0</v>
      </c>
      <c r="K1650" s="15" t="str">
        <f t="shared" si="325"/>
        <v>Twitter Web Client</v>
      </c>
      <c r="L1650" s="14">
        <v>47</v>
      </c>
      <c r="M1650" s="14">
        <v>418</v>
      </c>
      <c r="N1650" s="14">
        <v>0</v>
      </c>
      <c r="O1650" s="16"/>
      <c r="P1650" s="6">
        <v>40881.688437500001</v>
      </c>
      <c r="Q1650" s="11"/>
      <c r="R1650" s="18"/>
      <c r="S1650" s="11"/>
      <c r="T1650" s="11"/>
      <c r="U1650" s="10" t="str">
        <f>HYPERLINK("https://pbs.twimg.com/profile_images/2573244350/40rcwQjo","View")</f>
        <v>View</v>
      </c>
    </row>
    <row r="1651" spans="1:21" ht="40.799999999999997">
      <c r="A1651" s="6">
        <v>43439.621064814812</v>
      </c>
      <c r="B1651" s="7" t="str">
        <f>HYPERLINK("https://twitter.com/PepeWilliamMunn","@PepeWilliamMunn")</f>
        <v>@PepeWilliamMunn</v>
      </c>
      <c r="C1651" s="8" t="s">
        <v>4566</v>
      </c>
      <c r="D1651" s="9" t="s">
        <v>5470</v>
      </c>
      <c r="E1651" s="10" t="str">
        <f>HYPERLINK("https://twitter.com/PepeWilliamMunn/status/1070315437886488576","1070315437886488576")</f>
        <v>1070315437886488576</v>
      </c>
      <c r="F1651" s="11"/>
      <c r="G1651" s="11"/>
      <c r="H1651" s="11"/>
      <c r="I1651" s="14">
        <v>0</v>
      </c>
      <c r="J1651" s="14">
        <v>0</v>
      </c>
      <c r="K1651" s="15" t="str">
        <f t="shared" si="325"/>
        <v>Twitter Web Client</v>
      </c>
      <c r="L1651" s="14">
        <v>4142</v>
      </c>
      <c r="M1651" s="14">
        <v>4006</v>
      </c>
      <c r="N1651" s="14">
        <v>52</v>
      </c>
      <c r="O1651" s="16"/>
      <c r="P1651" s="6">
        <v>40870.462893518517</v>
      </c>
      <c r="Q1651" s="12" t="s">
        <v>137</v>
      </c>
      <c r="R1651" s="17" t="s">
        <v>4568</v>
      </c>
      <c r="S1651" s="13" t="s">
        <v>4569</v>
      </c>
      <c r="T1651" s="11"/>
      <c r="U1651" s="10" t="str">
        <f>HYPERLINK("https://pbs.twimg.com/profile_images/2870078327/2112ed271f1263253afafb4fb04f9722.jpeg","View")</f>
        <v>View</v>
      </c>
    </row>
    <row r="1652" spans="1:21" ht="40.799999999999997">
      <c r="A1652" s="6">
        <v>43439.620648148149</v>
      </c>
      <c r="B1652" s="7" t="str">
        <f>HYPERLINK("https://twitter.com/muly_","@muly_")</f>
        <v>@muly_</v>
      </c>
      <c r="C1652" s="8" t="s">
        <v>6643</v>
      </c>
      <c r="D1652" s="9" t="s">
        <v>6644</v>
      </c>
      <c r="E1652" s="10" t="str">
        <f>HYPERLINK("https://twitter.com/muly_/status/1070315287231299584","1070315287231299584")</f>
        <v>1070315287231299584</v>
      </c>
      <c r="F1652" s="11"/>
      <c r="G1652" s="11"/>
      <c r="H1652" s="11"/>
      <c r="I1652" s="14">
        <v>0</v>
      </c>
      <c r="J1652" s="14">
        <v>0</v>
      </c>
      <c r="K1652" s="15" t="str">
        <f>HYPERLINK("http://twitter.com/download/iphone","Twitter for iPhone")</f>
        <v>Twitter for iPhone</v>
      </c>
      <c r="L1652" s="14">
        <v>1517</v>
      </c>
      <c r="M1652" s="14">
        <v>778</v>
      </c>
      <c r="N1652" s="14">
        <v>37</v>
      </c>
      <c r="O1652" s="16"/>
      <c r="P1652" s="6">
        <v>40669.073368055557</v>
      </c>
      <c r="Q1652" s="12" t="s">
        <v>87</v>
      </c>
      <c r="R1652" s="17" t="s">
        <v>6647</v>
      </c>
      <c r="S1652" s="13" t="s">
        <v>6648</v>
      </c>
      <c r="T1652" s="11"/>
      <c r="U1652" s="10" t="str">
        <f>HYPERLINK("https://pbs.twimg.com/profile_images/837573580728709120/mQpcl04u.jpg","View")</f>
        <v>View</v>
      </c>
    </row>
    <row r="1653" spans="1:21" ht="30.6">
      <c r="A1653" s="6">
        <v>43439.620300925926</v>
      </c>
      <c r="B1653" s="7" t="str">
        <f>HYPERLINK("https://twitter.com/Lucy121078","@Lucy121078")</f>
        <v>@Lucy121078</v>
      </c>
      <c r="C1653" s="8" t="s">
        <v>5474</v>
      </c>
      <c r="D1653" s="9" t="s">
        <v>5476</v>
      </c>
      <c r="E1653" s="10" t="str">
        <f>HYPERLINK("https://twitter.com/Lucy121078/status/1070315160634568704","1070315160634568704")</f>
        <v>1070315160634568704</v>
      </c>
      <c r="F1653" s="13" t="s">
        <v>5478</v>
      </c>
      <c r="G1653" s="11"/>
      <c r="H1653" s="11"/>
      <c r="I1653" s="14">
        <v>0</v>
      </c>
      <c r="J1653" s="14">
        <v>0</v>
      </c>
      <c r="K1653" s="15" t="str">
        <f t="shared" ref="K1653:K1654" si="326">HYPERLINK("http://twitter.com/download/android","Twitter for Android")</f>
        <v>Twitter for Android</v>
      </c>
      <c r="L1653" s="14">
        <v>1539</v>
      </c>
      <c r="M1653" s="14">
        <v>479</v>
      </c>
      <c r="N1653" s="14">
        <v>1</v>
      </c>
      <c r="O1653" s="16"/>
      <c r="P1653" s="6">
        <v>42096.415312500001</v>
      </c>
      <c r="Q1653" s="12" t="s">
        <v>137</v>
      </c>
      <c r="R1653" s="17" t="s">
        <v>5481</v>
      </c>
      <c r="S1653" s="11"/>
      <c r="T1653" s="11"/>
      <c r="U1653" s="10" t="str">
        <f>HYPERLINK("https://pbs.twimg.com/profile_images/1030968462078894080/W3Uzwm24.jpg","View")</f>
        <v>View</v>
      </c>
    </row>
    <row r="1654" spans="1:21" ht="51">
      <c r="A1654" s="6">
        <v>43439.619999999995</v>
      </c>
      <c r="B1654" s="7" t="str">
        <f>HYPERLINK("https://twitter.com/doguionrego","@doguionrego")</f>
        <v>@doguionrego</v>
      </c>
      <c r="C1654" s="8" t="s">
        <v>756</v>
      </c>
      <c r="D1654" s="9" t="s">
        <v>5482</v>
      </c>
      <c r="E1654" s="10" t="str">
        <f>HYPERLINK("https://twitter.com/doguionrego/status/1070315052337688577","1070315052337688577")</f>
        <v>1070315052337688577</v>
      </c>
      <c r="F1654" s="12" t="s">
        <v>5484</v>
      </c>
      <c r="G1654" s="11"/>
      <c r="H1654" s="11"/>
      <c r="I1654" s="14">
        <v>0</v>
      </c>
      <c r="J1654" s="14">
        <v>0</v>
      </c>
      <c r="K1654" s="15" t="str">
        <f t="shared" si="326"/>
        <v>Twitter for Android</v>
      </c>
      <c r="L1654" s="14">
        <v>4649</v>
      </c>
      <c r="M1654" s="14">
        <v>4774</v>
      </c>
      <c r="N1654" s="14">
        <v>9</v>
      </c>
      <c r="O1654" s="16"/>
      <c r="P1654" s="6">
        <v>42818.633599537032</v>
      </c>
      <c r="Q1654" s="12" t="s">
        <v>137</v>
      </c>
      <c r="R1654" s="17" t="s">
        <v>761</v>
      </c>
      <c r="S1654" s="11"/>
      <c r="T1654" s="11"/>
      <c r="U1654" s="10" t="str">
        <f>HYPERLINK("https://pbs.twimg.com/profile_images/937615481602789376/OBa7YPsM.jpg","View")</f>
        <v>View</v>
      </c>
    </row>
    <row r="1655" spans="1:21" ht="61.2">
      <c r="A1655" s="6">
        <v>43439.619687500002</v>
      </c>
      <c r="B1655" s="7" t="str">
        <f>HYPERLINK("https://twitter.com/MariaTabarnia","@MariaTabarnia")</f>
        <v>@MariaTabarnia</v>
      </c>
      <c r="C1655" s="8" t="s">
        <v>5485</v>
      </c>
      <c r="D1655" s="9" t="s">
        <v>5486</v>
      </c>
      <c r="E1655" s="10" t="str">
        <f>HYPERLINK("https://twitter.com/MariaTabarnia/status/1070314938084851712","1070314938084851712")</f>
        <v>1070314938084851712</v>
      </c>
      <c r="F1655" s="11"/>
      <c r="G1655" s="11"/>
      <c r="H1655" s="11"/>
      <c r="I1655" s="14">
        <v>50</v>
      </c>
      <c r="J1655" s="14">
        <v>83</v>
      </c>
      <c r="K1655" s="15" t="str">
        <f>HYPERLINK("http://twitter.com/download/iphone","Twitter for iPhone")</f>
        <v>Twitter for iPhone</v>
      </c>
      <c r="L1655" s="14">
        <v>12677</v>
      </c>
      <c r="M1655" s="14">
        <v>13830</v>
      </c>
      <c r="N1655" s="14">
        <v>55</v>
      </c>
      <c r="O1655" s="16"/>
      <c r="P1655" s="6">
        <v>41424.855567129627</v>
      </c>
      <c r="Q1655" s="12" t="s">
        <v>5487</v>
      </c>
      <c r="R1655" s="17" t="s">
        <v>5489</v>
      </c>
      <c r="S1655" s="11"/>
      <c r="T1655" s="11"/>
      <c r="U1655" s="10" t="str">
        <f>HYPERLINK("https://pbs.twimg.com/profile_images/906661884199391232/L9xcUYsf.jpg","View")</f>
        <v>View</v>
      </c>
    </row>
    <row r="1656" spans="1:21" ht="61.2">
      <c r="A1656" s="6">
        <v>43439.619479166664</v>
      </c>
      <c r="B1656" s="7" t="str">
        <f>HYPERLINK("https://twitter.com/malonsocs","@malonsocs")</f>
        <v>@malonsocs</v>
      </c>
      <c r="C1656" s="8" t="s">
        <v>3923</v>
      </c>
      <c r="D1656" s="9" t="s">
        <v>5491</v>
      </c>
      <c r="E1656" s="10" t="str">
        <f>HYPERLINK("https://twitter.com/malonsocs/status/1070314864063758336","1070314864063758336")</f>
        <v>1070314864063758336</v>
      </c>
      <c r="F1656" s="11"/>
      <c r="G1656" s="13" t="s">
        <v>5492</v>
      </c>
      <c r="H1656" s="11"/>
      <c r="I1656" s="14">
        <v>12</v>
      </c>
      <c r="J1656" s="14">
        <v>16</v>
      </c>
      <c r="K1656" s="15" t="str">
        <f>HYPERLINK("http://twitter.com/download/android","Twitter for Android")</f>
        <v>Twitter for Android</v>
      </c>
      <c r="L1656" s="14">
        <v>15260</v>
      </c>
      <c r="M1656" s="14">
        <v>2001</v>
      </c>
      <c r="N1656" s="14">
        <v>255</v>
      </c>
      <c r="O1656" s="19" t="s">
        <v>42</v>
      </c>
      <c r="P1656" s="6">
        <v>40146.462326388893</v>
      </c>
      <c r="Q1656" s="12" t="s">
        <v>3926</v>
      </c>
      <c r="R1656" s="17" t="s">
        <v>3927</v>
      </c>
      <c r="S1656" s="13" t="s">
        <v>3928</v>
      </c>
      <c r="T1656" s="11"/>
      <c r="U1656" s="10" t="str">
        <f>HYPERLINK("https://pbs.twimg.com/profile_images/1048967075165863937/A7tPnjX8.jpg","View")</f>
        <v>View</v>
      </c>
    </row>
    <row r="1657" spans="1:21" ht="30.6">
      <c r="A1657" s="6">
        <v>43439.616886574076</v>
      </c>
      <c r="B1657" s="7" t="str">
        <f>HYPERLINK("https://twitter.com/marianofake","@marianofake")</f>
        <v>@marianofake</v>
      </c>
      <c r="C1657" s="8" t="s">
        <v>3604</v>
      </c>
      <c r="D1657" s="9" t="s">
        <v>6657</v>
      </c>
      <c r="E1657" s="10" t="str">
        <f>HYPERLINK("https://twitter.com/marianofake/status/1070313922530607114","1070313922530607114")</f>
        <v>1070313922530607114</v>
      </c>
      <c r="F1657" s="11"/>
      <c r="G1657" s="11"/>
      <c r="H1657" s="11"/>
      <c r="I1657" s="14">
        <v>6</v>
      </c>
      <c r="J1657" s="14">
        <v>11</v>
      </c>
      <c r="K1657" s="15" t="str">
        <f>HYPERLINK("http://twitter.com","Twitter Web Client")</f>
        <v>Twitter Web Client</v>
      </c>
      <c r="L1657" s="14">
        <v>6144</v>
      </c>
      <c r="M1657" s="14">
        <v>3153</v>
      </c>
      <c r="N1657" s="14">
        <v>19</v>
      </c>
      <c r="O1657" s="16"/>
      <c r="P1657" s="6">
        <v>42101.675752314812</v>
      </c>
      <c r="Q1657" s="11"/>
      <c r="R1657" s="17" t="s">
        <v>3607</v>
      </c>
      <c r="S1657" s="11"/>
      <c r="T1657" s="11"/>
      <c r="U1657" s="10" t="str">
        <f>HYPERLINK("https://pbs.twimg.com/profile_images/865123852795367424/p4pK2M21.jpg","View")</f>
        <v>View</v>
      </c>
    </row>
    <row r="1658" spans="1:21" ht="71.400000000000006">
      <c r="A1658" s="6">
        <v>43439.616886574076</v>
      </c>
      <c r="B1658" s="7" t="str">
        <f>HYPERLINK("https://twitter.com/doguionrego","@doguionrego")</f>
        <v>@doguionrego</v>
      </c>
      <c r="C1658" s="8" t="s">
        <v>756</v>
      </c>
      <c r="D1658" s="9" t="s">
        <v>5496</v>
      </c>
      <c r="E1658" s="10" t="str">
        <f>HYPERLINK("https://twitter.com/doguionrego/status/1070313921653948417","1070313921653948417")</f>
        <v>1070313921653948417</v>
      </c>
      <c r="F1658" s="12" t="s">
        <v>5497</v>
      </c>
      <c r="G1658" s="11"/>
      <c r="H1658" s="11"/>
      <c r="I1658" s="14">
        <v>1</v>
      </c>
      <c r="J1658" s="14">
        <v>0</v>
      </c>
      <c r="K1658" s="15" t="str">
        <f>HYPERLINK("http://twitter.com/download/android","Twitter for Android")</f>
        <v>Twitter for Android</v>
      </c>
      <c r="L1658" s="14">
        <v>4649</v>
      </c>
      <c r="M1658" s="14">
        <v>4774</v>
      </c>
      <c r="N1658" s="14">
        <v>9</v>
      </c>
      <c r="O1658" s="16"/>
      <c r="P1658" s="6">
        <v>42818.633599537032</v>
      </c>
      <c r="Q1658" s="12" t="s">
        <v>137</v>
      </c>
      <c r="R1658" s="17" t="s">
        <v>761</v>
      </c>
      <c r="S1658" s="11"/>
      <c r="T1658" s="11"/>
      <c r="U1658" s="10" t="str">
        <f>HYPERLINK("https://pbs.twimg.com/profile_images/937615481602789376/OBa7YPsM.jpg","View")</f>
        <v>View</v>
      </c>
    </row>
    <row r="1659" spans="1:21" ht="20.399999999999999">
      <c r="A1659" s="6">
        <v>43439.616620370369</v>
      </c>
      <c r="B1659" s="7" t="str">
        <f>HYPERLINK("https://twitter.com/NEWSANTANDER","@NEWSANTANDER")</f>
        <v>@NEWSANTANDER</v>
      </c>
      <c r="C1659" s="8" t="s">
        <v>6665</v>
      </c>
      <c r="D1659" s="9" t="s">
        <v>4269</v>
      </c>
      <c r="E1659" s="10" t="str">
        <f>HYPERLINK("https://twitter.com/NEWSANTANDER/status/1070313828527865858","1070313828527865858")</f>
        <v>1070313828527865858</v>
      </c>
      <c r="F1659" s="13" t="s">
        <v>6666</v>
      </c>
      <c r="G1659" s="11"/>
      <c r="H1659" s="11"/>
      <c r="I1659" s="14">
        <v>0</v>
      </c>
      <c r="J1659" s="14">
        <v>0</v>
      </c>
      <c r="K1659" s="15" t="str">
        <f>HYPERLINK("http://publicize.wp.com/","WordPress.com")</f>
        <v>WordPress.com</v>
      </c>
      <c r="L1659" s="14">
        <v>2719</v>
      </c>
      <c r="M1659" s="14">
        <v>2678</v>
      </c>
      <c r="N1659" s="14">
        <v>22</v>
      </c>
      <c r="O1659" s="16"/>
      <c r="P1659" s="6">
        <v>42254.827662037038</v>
      </c>
      <c r="Q1659" s="11"/>
      <c r="R1659" s="18"/>
      <c r="S1659" s="11"/>
      <c r="T1659" s="11"/>
      <c r="U1659" s="10" t="str">
        <f>HYPERLINK("https://pbs.twimg.com/profile_images/640946719002361856/uwfBU4CB.jpg","View")</f>
        <v>View</v>
      </c>
    </row>
    <row r="1660" spans="1:21" ht="40.799999999999997">
      <c r="A1660" s="6">
        <v>43439.615844907406</v>
      </c>
      <c r="B1660" s="7" t="str">
        <f>HYPERLINK("https://twitter.com/BenderOfuscado","@BenderOfuscado")</f>
        <v>@BenderOfuscado</v>
      </c>
      <c r="C1660" s="8" t="s">
        <v>6183</v>
      </c>
      <c r="D1660" s="9" t="s">
        <v>6670</v>
      </c>
      <c r="E1660" s="10" t="str">
        <f>HYPERLINK("https://twitter.com/BenderOfuscado/status/1070313546368585729","1070313546368585729")</f>
        <v>1070313546368585729</v>
      </c>
      <c r="F1660" s="11"/>
      <c r="G1660" s="11"/>
      <c r="H1660" s="11"/>
      <c r="I1660" s="14">
        <v>0</v>
      </c>
      <c r="J1660" s="14">
        <v>1</v>
      </c>
      <c r="K1660" s="15" t="str">
        <f t="shared" ref="K1660:K1661" si="327">HYPERLINK("http://twitter.com/download/android","Twitter for Android")</f>
        <v>Twitter for Android</v>
      </c>
      <c r="L1660" s="14">
        <v>399</v>
      </c>
      <c r="M1660" s="14">
        <v>119</v>
      </c>
      <c r="N1660" s="14">
        <v>3</v>
      </c>
      <c r="O1660" s="16"/>
      <c r="P1660" s="6">
        <v>43024.934791666667</v>
      </c>
      <c r="Q1660" s="11"/>
      <c r="R1660" s="17" t="s">
        <v>6187</v>
      </c>
      <c r="S1660" s="11"/>
      <c r="T1660" s="11"/>
      <c r="U1660" s="10" t="str">
        <f>HYPERLINK("https://pbs.twimg.com/profile_images/1032296142674055169/HJToDVsj.jpg","View")</f>
        <v>View</v>
      </c>
    </row>
    <row r="1661" spans="1:21" ht="102">
      <c r="A1661" s="6">
        <v>43439.613738425927</v>
      </c>
      <c r="B1661" s="7" t="str">
        <f>HYPERLINK("https://twitter.com/doguionrego","@doguionrego")</f>
        <v>@doguionrego</v>
      </c>
      <c r="C1661" s="8" t="s">
        <v>756</v>
      </c>
      <c r="D1661" s="9" t="s">
        <v>757</v>
      </c>
      <c r="E1661" s="10" t="str">
        <f>HYPERLINK("https://twitter.com/doguionrego/status/1070312781696679937","1070312781696679937")</f>
        <v>1070312781696679937</v>
      </c>
      <c r="F1661" s="13" t="s">
        <v>760</v>
      </c>
      <c r="G1661" s="11"/>
      <c r="H1661" s="11"/>
      <c r="I1661" s="14">
        <v>0</v>
      </c>
      <c r="J1661" s="14">
        <v>1</v>
      </c>
      <c r="K1661" s="15" t="str">
        <f t="shared" si="327"/>
        <v>Twitter for Android</v>
      </c>
      <c r="L1661" s="14">
        <v>4649</v>
      </c>
      <c r="M1661" s="14">
        <v>4774</v>
      </c>
      <c r="N1661" s="14">
        <v>9</v>
      </c>
      <c r="O1661" s="16"/>
      <c r="P1661" s="6">
        <v>42818.633599537032</v>
      </c>
      <c r="Q1661" s="12" t="s">
        <v>137</v>
      </c>
      <c r="R1661" s="17" t="s">
        <v>761</v>
      </c>
      <c r="S1661" s="11"/>
      <c r="T1661" s="11"/>
      <c r="U1661" s="10" t="str">
        <f>HYPERLINK("https://pbs.twimg.com/profile_images/937615481602789376/OBa7YPsM.jpg","View")</f>
        <v>View</v>
      </c>
    </row>
    <row r="1662" spans="1:21" ht="51">
      <c r="A1662" s="6">
        <v>43439.612430555557</v>
      </c>
      <c r="B1662" s="7" t="str">
        <f>HYPERLINK("https://twitter.com/CiudadanosCs","@CiudadanosCs")</f>
        <v>@CiudadanosCs</v>
      </c>
      <c r="C1662" s="8" t="s">
        <v>489</v>
      </c>
      <c r="D1662" s="9" t="s">
        <v>5500</v>
      </c>
      <c r="E1662" s="10" t="str">
        <f>HYPERLINK("https://twitter.com/CiudadanosCs/status/1070312308084260865","1070312308084260865")</f>
        <v>1070312308084260865</v>
      </c>
      <c r="F1662" s="11"/>
      <c r="G1662" s="13" t="s">
        <v>5502</v>
      </c>
      <c r="H1662" s="11"/>
      <c r="I1662" s="14">
        <v>78</v>
      </c>
      <c r="J1662" s="14">
        <v>116</v>
      </c>
      <c r="K1662" s="15" t="str">
        <f>HYPERLINK("https://studio.twitter.com","Twitter Media Studio")</f>
        <v>Twitter Media Studio</v>
      </c>
      <c r="L1662" s="14">
        <v>490821</v>
      </c>
      <c r="M1662" s="14">
        <v>93557</v>
      </c>
      <c r="N1662" s="14">
        <v>3338</v>
      </c>
      <c r="O1662" s="19" t="s">
        <v>42</v>
      </c>
      <c r="P1662" s="6">
        <v>39828.753460648149</v>
      </c>
      <c r="Q1662" s="12" t="s">
        <v>137</v>
      </c>
      <c r="R1662" s="17" t="s">
        <v>492</v>
      </c>
      <c r="S1662" s="13" t="s">
        <v>493</v>
      </c>
      <c r="T1662" s="11"/>
      <c r="U1662" s="10" t="str">
        <f>HYPERLINK("https://pbs.twimg.com/profile_images/1053554096161075200/1z77_zBZ.jpg","View")</f>
        <v>View</v>
      </c>
    </row>
    <row r="1663" spans="1:21" ht="51">
      <c r="A1663" s="6">
        <v>43439.611585648148</v>
      </c>
      <c r="B1663" s="7" t="str">
        <f>HYPERLINK("https://twitter.com/Juaanca097","@Juaanca097")</f>
        <v>@Juaanca097</v>
      </c>
      <c r="C1663" s="8" t="s">
        <v>6681</v>
      </c>
      <c r="D1663" s="9" t="s">
        <v>6682</v>
      </c>
      <c r="E1663" s="10" t="str">
        <f>HYPERLINK("https://twitter.com/Juaanca097/status/1070312002646622209","1070312002646622209")</f>
        <v>1070312002646622209</v>
      </c>
      <c r="F1663" s="13" t="s">
        <v>6684</v>
      </c>
      <c r="G1663" s="13" t="s">
        <v>6685</v>
      </c>
      <c r="H1663" s="11"/>
      <c r="I1663" s="14">
        <v>0</v>
      </c>
      <c r="J1663" s="14">
        <v>0</v>
      </c>
      <c r="K1663" s="15" t="str">
        <f>HYPERLINK("http://twitter.com/download/android","Twitter for Android")</f>
        <v>Twitter for Android</v>
      </c>
      <c r="L1663" s="14">
        <v>469</v>
      </c>
      <c r="M1663" s="14">
        <v>192</v>
      </c>
      <c r="N1663" s="14">
        <v>2</v>
      </c>
      <c r="O1663" s="16"/>
      <c r="P1663" s="6">
        <v>40864.971655092595</v>
      </c>
      <c r="Q1663" s="12" t="s">
        <v>1695</v>
      </c>
      <c r="R1663" s="17" t="s">
        <v>6686</v>
      </c>
      <c r="S1663" s="11"/>
      <c r="T1663" s="11"/>
      <c r="U1663" s="10" t="str">
        <f>HYPERLINK("https://pbs.twimg.com/profile_images/1071056645524992001/stU7rA9O.jpg","View")</f>
        <v>View</v>
      </c>
    </row>
    <row r="1664" spans="1:21" ht="40.799999999999997">
      <c r="A1664" s="6">
        <v>43439.611516203702</v>
      </c>
      <c r="B1664" s="7" t="str">
        <f>HYPERLINK("https://twitter.com/CiudadanosCs","@CiudadanosCs")</f>
        <v>@CiudadanosCs</v>
      </c>
      <c r="C1664" s="8" t="s">
        <v>489</v>
      </c>
      <c r="D1664" s="9" t="s">
        <v>5356</v>
      </c>
      <c r="E1664" s="10" t="str">
        <f>HYPERLINK("https://twitter.com/CiudadanosCs/status/1070311978672025600","1070311978672025600")</f>
        <v>1070311978672025600</v>
      </c>
      <c r="F1664" s="11"/>
      <c r="G1664" s="13" t="s">
        <v>5357</v>
      </c>
      <c r="H1664" s="11"/>
      <c r="I1664" s="14">
        <v>62</v>
      </c>
      <c r="J1664" s="14">
        <v>65</v>
      </c>
      <c r="K1664" s="15" t="str">
        <f>HYPERLINK("https://studio.twitter.com","Twitter Media Studio")</f>
        <v>Twitter Media Studio</v>
      </c>
      <c r="L1664" s="14">
        <v>490821</v>
      </c>
      <c r="M1664" s="14">
        <v>93557</v>
      </c>
      <c r="N1664" s="14">
        <v>3338</v>
      </c>
      <c r="O1664" s="19" t="s">
        <v>42</v>
      </c>
      <c r="P1664" s="6">
        <v>39828.753460648149</v>
      </c>
      <c r="Q1664" s="12" t="s">
        <v>137</v>
      </c>
      <c r="R1664" s="17" t="s">
        <v>492</v>
      </c>
      <c r="S1664" s="13" t="s">
        <v>493</v>
      </c>
      <c r="T1664" s="11"/>
      <c r="U1664" s="10" t="str">
        <f>HYPERLINK("https://pbs.twimg.com/profile_images/1053554096161075200/1z77_zBZ.jpg","View")</f>
        <v>View</v>
      </c>
    </row>
    <row r="1665" spans="1:21" ht="20.399999999999999">
      <c r="A1665" s="6">
        <v>43439.610636574071</v>
      </c>
      <c r="B1665" s="7" t="str">
        <f>HYPERLINK("https://twitter.com/manolinelreal","@manolinelreal")</f>
        <v>@manolinelreal</v>
      </c>
      <c r="C1665" s="8" t="s">
        <v>1564</v>
      </c>
      <c r="D1665" s="9" t="s">
        <v>5510</v>
      </c>
      <c r="E1665" s="10" t="str">
        <f>HYPERLINK("https://twitter.com/manolinelreal/status/1070311656666882048","1070311656666882048")</f>
        <v>1070311656666882048</v>
      </c>
      <c r="F1665" s="13" t="s">
        <v>4530</v>
      </c>
      <c r="G1665" s="11"/>
      <c r="H1665" s="11"/>
      <c r="I1665" s="14">
        <v>0</v>
      </c>
      <c r="J1665" s="14">
        <v>0</v>
      </c>
      <c r="K1665" s="15" t="str">
        <f>HYPERLINK("http://twitter.com/download/android","Twitter for Android")</f>
        <v>Twitter for Android</v>
      </c>
      <c r="L1665" s="14">
        <v>2407</v>
      </c>
      <c r="M1665" s="14">
        <v>2338</v>
      </c>
      <c r="N1665" s="14">
        <v>22</v>
      </c>
      <c r="O1665" s="16"/>
      <c r="P1665" s="6">
        <v>41276.882627314815</v>
      </c>
      <c r="Q1665" s="11"/>
      <c r="R1665" s="17" t="s">
        <v>4313</v>
      </c>
      <c r="S1665" s="11"/>
      <c r="T1665" s="11"/>
      <c r="U1665" s="10" t="str">
        <f>HYPERLINK("https://pbs.twimg.com/profile_images/1060287423475867649/Ko1nWlY_.jpg","View")</f>
        <v>View</v>
      </c>
    </row>
    <row r="1666" spans="1:21" ht="61.2">
      <c r="A1666" s="6">
        <v>43439.609351851846</v>
      </c>
      <c r="B1666" s="7" t="str">
        <f>HYPERLINK("https://twitter.com/LulydelMar","@LulydelMar")</f>
        <v>@LulydelMar</v>
      </c>
      <c r="C1666" s="8" t="s">
        <v>6692</v>
      </c>
      <c r="D1666" s="9" t="s">
        <v>6694</v>
      </c>
      <c r="E1666" s="10" t="str">
        <f>HYPERLINK("https://twitter.com/LulydelMar/status/1070311194085474304","1070311194085474304")</f>
        <v>1070311194085474304</v>
      </c>
      <c r="F1666" s="11"/>
      <c r="G1666" s="13" t="s">
        <v>6695</v>
      </c>
      <c r="H1666" s="11"/>
      <c r="I1666" s="14">
        <v>1</v>
      </c>
      <c r="J1666" s="14">
        <v>1</v>
      </c>
      <c r="K1666" s="15" t="str">
        <f t="shared" ref="K1666:K1669" si="328">HYPERLINK("http://twitter.com","Twitter Web Client")</f>
        <v>Twitter Web Client</v>
      </c>
      <c r="L1666" s="14">
        <v>430</v>
      </c>
      <c r="M1666" s="14">
        <v>443</v>
      </c>
      <c r="N1666" s="14">
        <v>5</v>
      </c>
      <c r="O1666" s="16"/>
      <c r="P1666" s="6">
        <v>42008.268900462965</v>
      </c>
      <c r="Q1666" s="12" t="s">
        <v>6697</v>
      </c>
      <c r="R1666" s="17" t="s">
        <v>6698</v>
      </c>
      <c r="S1666" s="11"/>
      <c r="T1666" s="11"/>
      <c r="U1666" s="10" t="str">
        <f>HYPERLINK("https://pbs.twimg.com/profile_images/973074898213097472/SJuyjlT7.jpg","View")</f>
        <v>View</v>
      </c>
    </row>
    <row r="1667" spans="1:21" ht="20.399999999999999">
      <c r="A1667" s="6">
        <v>43439.607638888891</v>
      </c>
      <c r="B1667" s="7" t="str">
        <f>HYPERLINK("https://twitter.com/BegotxuBoo","@BegotxuBoo")</f>
        <v>@BegotxuBoo</v>
      </c>
      <c r="C1667" s="8" t="s">
        <v>6699</v>
      </c>
      <c r="D1667" s="9" t="s">
        <v>6700</v>
      </c>
      <c r="E1667" s="10" t="str">
        <f>HYPERLINK("https://twitter.com/BegotxuBoo/status/1070310572355395584","1070310572355395584")</f>
        <v>1070310572355395584</v>
      </c>
      <c r="F1667" s="11"/>
      <c r="G1667" s="11"/>
      <c r="H1667" s="11"/>
      <c r="I1667" s="14">
        <v>2</v>
      </c>
      <c r="J1667" s="14">
        <v>16</v>
      </c>
      <c r="K1667" s="15" t="str">
        <f t="shared" si="328"/>
        <v>Twitter Web Client</v>
      </c>
      <c r="L1667" s="14">
        <v>13707</v>
      </c>
      <c r="M1667" s="14">
        <v>626</v>
      </c>
      <c r="N1667" s="14">
        <v>153</v>
      </c>
      <c r="O1667" s="16"/>
      <c r="P1667" s="6">
        <v>41150.535833333335</v>
      </c>
      <c r="Q1667" s="11"/>
      <c r="R1667" s="17" t="s">
        <v>6703</v>
      </c>
      <c r="S1667" s="11"/>
      <c r="T1667" s="11"/>
      <c r="U1667" s="10" t="str">
        <f>HYPERLINK("https://pbs.twimg.com/profile_images/534266200818483200/_78fiChL.jpeg","View")</f>
        <v>View</v>
      </c>
    </row>
    <row r="1668" spans="1:21" ht="30.6">
      <c r="A1668" s="6">
        <v>43439.607291666667</v>
      </c>
      <c r="B1668" s="7" t="str">
        <f>HYPERLINK("https://twitter.com/angelzamora","@angelzamora")</f>
        <v>@angelzamora</v>
      </c>
      <c r="C1668" s="8" t="s">
        <v>6704</v>
      </c>
      <c r="D1668" s="9" t="s">
        <v>4269</v>
      </c>
      <c r="E1668" s="10" t="str">
        <f>HYPERLINK("https://twitter.com/angelzamora/status/1070310445091905537","1070310445091905537")</f>
        <v>1070310445091905537</v>
      </c>
      <c r="F1668" s="11"/>
      <c r="G1668" s="11"/>
      <c r="H1668" s="11"/>
      <c r="I1668" s="14">
        <v>0</v>
      </c>
      <c r="J1668" s="14">
        <v>0</v>
      </c>
      <c r="K1668" s="15" t="str">
        <f t="shared" si="328"/>
        <v>Twitter Web Client</v>
      </c>
      <c r="L1668" s="14">
        <v>15517</v>
      </c>
      <c r="M1668" s="14">
        <v>15900</v>
      </c>
      <c r="N1668" s="14">
        <v>57</v>
      </c>
      <c r="O1668" s="16"/>
      <c r="P1668" s="6">
        <v>40087.686365740738</v>
      </c>
      <c r="Q1668" s="12" t="s">
        <v>6707</v>
      </c>
      <c r="R1668" s="17" t="s">
        <v>6708</v>
      </c>
      <c r="S1668" s="11"/>
      <c r="T1668" s="11"/>
      <c r="U1668" s="10" t="str">
        <f>HYPERLINK("https://pbs.twimg.com/profile_images/464468042546569216/c8GHzvaT.jpeg","View")</f>
        <v>View</v>
      </c>
    </row>
    <row r="1669" spans="1:21" ht="40.799999999999997">
      <c r="A1669" s="6">
        <v>43439.606608796297</v>
      </c>
      <c r="B1669" s="7" t="str">
        <f>HYPERLINK("https://twitter.com/RojoMaricaLivre","@RojoMaricaLivre")</f>
        <v>@RojoMaricaLivre</v>
      </c>
      <c r="C1669" s="8" t="s">
        <v>6711</v>
      </c>
      <c r="D1669" s="9" t="s">
        <v>6712</v>
      </c>
      <c r="E1669" s="10" t="str">
        <f>HYPERLINK("https://twitter.com/RojoMaricaLivre/status/1070310198374477824","1070310198374477824")</f>
        <v>1070310198374477824</v>
      </c>
      <c r="F1669" s="11"/>
      <c r="G1669" s="11"/>
      <c r="H1669" s="11"/>
      <c r="I1669" s="14">
        <v>0</v>
      </c>
      <c r="J1669" s="14">
        <v>0</v>
      </c>
      <c r="K1669" s="15" t="str">
        <f t="shared" si="328"/>
        <v>Twitter Web Client</v>
      </c>
      <c r="L1669" s="14">
        <v>169</v>
      </c>
      <c r="M1669" s="14">
        <v>730</v>
      </c>
      <c r="N1669" s="14">
        <v>2</v>
      </c>
      <c r="O1669" s="16"/>
      <c r="P1669" s="6">
        <v>41659.873020833329</v>
      </c>
      <c r="Q1669" s="12" t="s">
        <v>6713</v>
      </c>
      <c r="R1669" s="17" t="s">
        <v>6714</v>
      </c>
      <c r="S1669" s="11"/>
      <c r="T1669" s="11"/>
      <c r="U1669" s="10" t="str">
        <f>HYPERLINK("https://pbs.twimg.com/profile_images/1047166364291686400/hipwkWlX.jpg","View")</f>
        <v>View</v>
      </c>
    </row>
    <row r="1670" spans="1:21" ht="30.6">
      <c r="A1670" s="6">
        <v>43439.605532407411</v>
      </c>
      <c r="B1670" s="7" t="str">
        <f>HYPERLINK("https://twitter.com/VandalsRCD1","@VandalsRCD1")</f>
        <v>@VandalsRCD1</v>
      </c>
      <c r="C1670" s="8" t="s">
        <v>6716</v>
      </c>
      <c r="D1670" s="9" t="s">
        <v>6717</v>
      </c>
      <c r="E1670" s="10" t="str">
        <f>HYPERLINK("https://twitter.com/VandalsRCD1/status/1070309808056745984","1070309808056745984")</f>
        <v>1070309808056745984</v>
      </c>
      <c r="F1670" s="12" t="s">
        <v>6718</v>
      </c>
      <c r="G1670" s="11"/>
      <c r="H1670" s="11"/>
      <c r="I1670" s="14">
        <v>1</v>
      </c>
      <c r="J1670" s="14">
        <v>0</v>
      </c>
      <c r="K1670" s="15" t="str">
        <f>HYPERLINK("http://twitter.com/download/android","Twitter for Android")</f>
        <v>Twitter for Android</v>
      </c>
      <c r="L1670" s="14">
        <v>242</v>
      </c>
      <c r="M1670" s="14">
        <v>182</v>
      </c>
      <c r="N1670" s="14">
        <v>0</v>
      </c>
      <c r="O1670" s="16"/>
      <c r="P1670" s="6">
        <v>43340.942083333328</v>
      </c>
      <c r="Q1670" s="11"/>
      <c r="R1670" s="17" t="s">
        <v>6721</v>
      </c>
      <c r="S1670" s="11"/>
      <c r="T1670" s="11"/>
      <c r="U1670" s="10" t="str">
        <f>HYPERLINK("https://pbs.twimg.com/profile_images/1034818117023801344/jcNB3K0z.jpg","View")</f>
        <v>View</v>
      </c>
    </row>
    <row r="1671" spans="1:21" ht="51">
      <c r="A1671" s="6">
        <v>43439.60533564815</v>
      </c>
      <c r="B1671" s="7" t="str">
        <f>HYPERLINK("https://twitter.com/ValencianosY","@ValencianosY")</f>
        <v>@ValencianosY</v>
      </c>
      <c r="C1671" s="8" t="s">
        <v>5517</v>
      </c>
      <c r="D1671" s="9" t="s">
        <v>5518</v>
      </c>
      <c r="E1671" s="10" t="str">
        <f>HYPERLINK("https://twitter.com/ValencianosY/status/1070309738519371776","1070309738519371776")</f>
        <v>1070309738519371776</v>
      </c>
      <c r="F1671" s="11"/>
      <c r="G1671" s="11"/>
      <c r="H1671" s="11"/>
      <c r="I1671" s="14">
        <v>2</v>
      </c>
      <c r="J1671" s="14">
        <v>2</v>
      </c>
      <c r="K1671" s="15" t="str">
        <f t="shared" ref="K1671:K1673" si="329">HYPERLINK("http://twitter.com/download/iphone","Twitter for iPhone")</f>
        <v>Twitter for iPhone</v>
      </c>
      <c r="L1671" s="14">
        <v>234</v>
      </c>
      <c r="M1671" s="14">
        <v>530</v>
      </c>
      <c r="N1671" s="14">
        <v>0</v>
      </c>
      <c r="O1671" s="16"/>
      <c r="P1671" s="6">
        <v>43374.914942129632</v>
      </c>
      <c r="Q1671" s="12" t="s">
        <v>602</v>
      </c>
      <c r="R1671" s="17" t="s">
        <v>5519</v>
      </c>
      <c r="S1671" s="11"/>
      <c r="T1671" s="11"/>
      <c r="U1671" s="10" t="str">
        <f>HYPERLINK("https://pbs.twimg.com/profile_images/1046852942396096556/ZVpLRqHt.jpg","View")</f>
        <v>View</v>
      </c>
    </row>
    <row r="1672" spans="1:21" ht="51">
      <c r="A1672" s="6">
        <v>43439.604675925926</v>
      </c>
      <c r="B1672" s="7" t="str">
        <f>HYPERLINK("https://twitter.com/MariaTabarnia","@MariaTabarnia")</f>
        <v>@MariaTabarnia</v>
      </c>
      <c r="C1672" s="8" t="s">
        <v>5485</v>
      </c>
      <c r="D1672" s="9" t="s">
        <v>5524</v>
      </c>
      <c r="E1672" s="10" t="str">
        <f>HYPERLINK("https://twitter.com/MariaTabarnia/status/1070309498898800641","1070309498898800641")</f>
        <v>1070309498898800641</v>
      </c>
      <c r="F1672" s="11"/>
      <c r="G1672" s="13" t="s">
        <v>5527</v>
      </c>
      <c r="H1672" s="11"/>
      <c r="I1672" s="14">
        <v>77</v>
      </c>
      <c r="J1672" s="14">
        <v>111</v>
      </c>
      <c r="K1672" s="15" t="str">
        <f t="shared" si="329"/>
        <v>Twitter for iPhone</v>
      </c>
      <c r="L1672" s="14">
        <v>12677</v>
      </c>
      <c r="M1672" s="14">
        <v>13830</v>
      </c>
      <c r="N1672" s="14">
        <v>55</v>
      </c>
      <c r="O1672" s="16"/>
      <c r="P1672" s="6">
        <v>41424.855567129627</v>
      </c>
      <c r="Q1672" s="12" t="s">
        <v>5487</v>
      </c>
      <c r="R1672" s="17" t="s">
        <v>5489</v>
      </c>
      <c r="S1672" s="11"/>
      <c r="T1672" s="11"/>
      <c r="U1672" s="10" t="str">
        <f>HYPERLINK("https://pbs.twimg.com/profile_images/906661884199391232/L9xcUYsf.jpg","View")</f>
        <v>View</v>
      </c>
    </row>
    <row r="1673" spans="1:21" ht="51">
      <c r="A1673" s="6">
        <v>43439.603495370371</v>
      </c>
      <c r="B1673" s="7" t="str">
        <f>HYPERLINK("https://twitter.com/JuanCeMed","@JuanCeMed")</f>
        <v>@JuanCeMed</v>
      </c>
      <c r="C1673" s="8" t="s">
        <v>5528</v>
      </c>
      <c r="D1673" s="9" t="s">
        <v>5529</v>
      </c>
      <c r="E1673" s="10" t="str">
        <f>HYPERLINK("https://twitter.com/JuanCeMed/status/1070309070115168256","1070309070115168256")</f>
        <v>1070309070115168256</v>
      </c>
      <c r="F1673" s="12" t="s">
        <v>169</v>
      </c>
      <c r="G1673" s="13" t="s">
        <v>170</v>
      </c>
      <c r="H1673" s="11"/>
      <c r="I1673" s="14">
        <v>0</v>
      </c>
      <c r="J1673" s="14">
        <v>0</v>
      </c>
      <c r="K1673" s="15" t="str">
        <f t="shared" si="329"/>
        <v>Twitter for iPhone</v>
      </c>
      <c r="L1673" s="14">
        <v>218</v>
      </c>
      <c r="M1673" s="14">
        <v>889</v>
      </c>
      <c r="N1673" s="14">
        <v>3</v>
      </c>
      <c r="O1673" s="16"/>
      <c r="P1673" s="6">
        <v>40789.543483796297</v>
      </c>
      <c r="Q1673" s="12" t="s">
        <v>5532</v>
      </c>
      <c r="R1673" s="17" t="s">
        <v>5534</v>
      </c>
      <c r="S1673" s="11"/>
      <c r="T1673" s="11"/>
      <c r="U1673" s="10" t="str">
        <f>HYPERLINK("https://pbs.twimg.com/profile_images/1069191580559597568/1WRwJbhL.jpg","View")</f>
        <v>View</v>
      </c>
    </row>
    <row r="1674" spans="1:21" ht="51">
      <c r="A1674" s="6">
        <v>43439.602326388893</v>
      </c>
      <c r="B1674" s="7" t="str">
        <f>HYPERLINK("https://twitter.com/CiudadanosCs","@CiudadanosCs")</f>
        <v>@CiudadanosCs</v>
      </c>
      <c r="C1674" s="8" t="s">
        <v>489</v>
      </c>
      <c r="D1674" s="9" t="s">
        <v>5537</v>
      </c>
      <c r="E1674" s="10" t="str">
        <f>HYPERLINK("https://twitter.com/CiudadanosCs/status/1070308647752880128","1070308647752880128")</f>
        <v>1070308647752880128</v>
      </c>
      <c r="F1674" s="11"/>
      <c r="G1674" s="13" t="s">
        <v>5538</v>
      </c>
      <c r="H1674" s="11"/>
      <c r="I1674" s="14">
        <v>116</v>
      </c>
      <c r="J1674" s="14">
        <v>151</v>
      </c>
      <c r="K1674" s="15" t="str">
        <f>HYPERLINK("https://studio.twitter.com","Twitter Media Studio")</f>
        <v>Twitter Media Studio</v>
      </c>
      <c r="L1674" s="14">
        <v>490821</v>
      </c>
      <c r="M1674" s="14">
        <v>93557</v>
      </c>
      <c r="N1674" s="14">
        <v>3338</v>
      </c>
      <c r="O1674" s="19" t="s">
        <v>42</v>
      </c>
      <c r="P1674" s="6">
        <v>39828.753460648149</v>
      </c>
      <c r="Q1674" s="12" t="s">
        <v>137</v>
      </c>
      <c r="R1674" s="17" t="s">
        <v>492</v>
      </c>
      <c r="S1674" s="13" t="s">
        <v>493</v>
      </c>
      <c r="T1674" s="11"/>
      <c r="U1674" s="10" t="str">
        <f>HYPERLINK("https://pbs.twimg.com/profile_images/1053554096161075200/1z77_zBZ.jpg","View")</f>
        <v>View</v>
      </c>
    </row>
    <row r="1675" spans="1:21" ht="40.799999999999997">
      <c r="A1675" s="6">
        <v>43439.601886574077</v>
      </c>
      <c r="B1675" s="7" t="str">
        <f>HYPERLINK("https://twitter.com/Luis_Angel_Sanz","@Luis_Angel_Sanz")</f>
        <v>@Luis_Angel_Sanz</v>
      </c>
      <c r="C1675" s="8" t="s">
        <v>4164</v>
      </c>
      <c r="D1675" s="9" t="s">
        <v>5543</v>
      </c>
      <c r="E1675" s="10" t="str">
        <f>HYPERLINK("https://twitter.com/Luis_Angel_Sanz/status/1070308486519640066","1070308486519640066")</f>
        <v>1070308486519640066</v>
      </c>
      <c r="F1675" s="13" t="s">
        <v>3869</v>
      </c>
      <c r="G1675" s="11"/>
      <c r="H1675" s="11"/>
      <c r="I1675" s="14">
        <v>8</v>
      </c>
      <c r="J1675" s="14">
        <v>2</v>
      </c>
      <c r="K1675" s="15" t="str">
        <f>HYPERLINK("http://twitter.com","Twitter Web Client")</f>
        <v>Twitter Web Client</v>
      </c>
      <c r="L1675" s="14">
        <v>6251</v>
      </c>
      <c r="M1675" s="14">
        <v>603</v>
      </c>
      <c r="N1675" s="14">
        <v>239</v>
      </c>
      <c r="O1675" s="16"/>
      <c r="P1675" s="6">
        <v>40627.717928240745</v>
      </c>
      <c r="Q1675" s="11"/>
      <c r="R1675" s="17" t="s">
        <v>4171</v>
      </c>
      <c r="S1675" s="13" t="s">
        <v>4172</v>
      </c>
      <c r="T1675" s="11"/>
      <c r="U1675" s="10" t="str">
        <f>HYPERLINK("https://pbs.twimg.com/profile_images/721718785758117888/6RQic_kb.jpg","View")</f>
        <v>View</v>
      </c>
    </row>
    <row r="1676" spans="1:21" ht="20.399999999999999">
      <c r="A1676" s="6">
        <v>43439.6015625</v>
      </c>
      <c r="B1676" s="7" t="str">
        <f>HYPERLINK("https://twitter.com/adelacafe93","@adelacafe93")</f>
        <v>@adelacafe93</v>
      </c>
      <c r="C1676" s="8" t="s">
        <v>6732</v>
      </c>
      <c r="D1676" s="9" t="s">
        <v>4269</v>
      </c>
      <c r="E1676" s="10" t="str">
        <f>HYPERLINK("https://twitter.com/adelacafe93/status/1070308369884430337","1070308369884430337")</f>
        <v>1070308369884430337</v>
      </c>
      <c r="F1676" s="13" t="s">
        <v>6733</v>
      </c>
      <c r="G1676" s="11"/>
      <c r="H1676" s="11"/>
      <c r="I1676" s="14">
        <v>0</v>
      </c>
      <c r="J1676" s="14">
        <v>0</v>
      </c>
      <c r="K1676" s="15" t="str">
        <f t="shared" ref="K1676:K1677" si="330">HYPERLINK("https://ifttt.com","IFTTT")</f>
        <v>IFTTT</v>
      </c>
      <c r="L1676" s="14">
        <v>18</v>
      </c>
      <c r="M1676" s="14">
        <v>47</v>
      </c>
      <c r="N1676" s="14">
        <v>0</v>
      </c>
      <c r="O1676" s="16"/>
      <c r="P1676" s="6">
        <v>42761.615034722221</v>
      </c>
      <c r="Q1676" s="12" t="s">
        <v>6734</v>
      </c>
      <c r="R1676" s="17" t="s">
        <v>6735</v>
      </c>
      <c r="S1676" s="11"/>
      <c r="T1676" s="11"/>
      <c r="U1676" s="10" t="str">
        <f>HYPERLINK("https://pbs.twimg.com/profile_images/824614694078013444/fkDV_Y0Z.jpg","View")</f>
        <v>View</v>
      </c>
    </row>
    <row r="1677" spans="1:21" ht="20.399999999999999">
      <c r="A1677" s="6">
        <v>43439.60155092593</v>
      </c>
      <c r="B1677" s="7" t="str">
        <f>HYPERLINK("https://twitter.com/titulares24hora","@titulares24hora")</f>
        <v>@titulares24hora</v>
      </c>
      <c r="C1677" s="8" t="s">
        <v>6736</v>
      </c>
      <c r="D1677" s="9" t="s">
        <v>4269</v>
      </c>
      <c r="E1677" s="10" t="str">
        <f>HYPERLINK("https://twitter.com/titulares24hora/status/1070308366059274241","1070308366059274241")</f>
        <v>1070308366059274241</v>
      </c>
      <c r="F1677" s="11"/>
      <c r="G1677" s="11"/>
      <c r="H1677" s="11"/>
      <c r="I1677" s="14">
        <v>0</v>
      </c>
      <c r="J1677" s="14">
        <v>0</v>
      </c>
      <c r="K1677" s="15" t="str">
        <f t="shared" si="330"/>
        <v>IFTTT</v>
      </c>
      <c r="L1677" s="14">
        <v>394</v>
      </c>
      <c r="M1677" s="14">
        <v>1462</v>
      </c>
      <c r="N1677" s="14">
        <v>2</v>
      </c>
      <c r="O1677" s="16"/>
      <c r="P1677" s="6">
        <v>42508.446805555555</v>
      </c>
      <c r="Q1677" s="11"/>
      <c r="R1677" s="17" t="s">
        <v>6737</v>
      </c>
      <c r="S1677" s="11"/>
      <c r="T1677" s="11"/>
      <c r="U1677" s="10" t="str">
        <f>HYPERLINK("https://pbs.twimg.com/profile_images/732855169034166272/A8O2LY2J.jpg","View")</f>
        <v>View</v>
      </c>
    </row>
    <row r="1678" spans="1:21" ht="51">
      <c r="A1678" s="6">
        <v>43439.60055555556</v>
      </c>
      <c r="B1678" s="7" t="str">
        <f>HYPERLINK("https://twitter.com/MCarmenRiv74","@MCarmenRiv74")</f>
        <v>@MCarmenRiv74</v>
      </c>
      <c r="C1678" s="8" t="s">
        <v>6499</v>
      </c>
      <c r="D1678" s="9" t="s">
        <v>6739</v>
      </c>
      <c r="E1678" s="10" t="str">
        <f>HYPERLINK("https://twitter.com/MCarmenRiv74/status/1070308007345479681","1070308007345479681")</f>
        <v>1070308007345479681</v>
      </c>
      <c r="F1678" s="11"/>
      <c r="G1678" s="13" t="s">
        <v>6740</v>
      </c>
      <c r="H1678" s="11"/>
      <c r="I1678" s="14">
        <v>50</v>
      </c>
      <c r="J1678" s="14">
        <v>50</v>
      </c>
      <c r="K1678" s="15" t="str">
        <f>HYPERLINK("http://twitter.com/download/android","Twitter for Android")</f>
        <v>Twitter for Android</v>
      </c>
      <c r="L1678" s="14">
        <v>15661</v>
      </c>
      <c r="M1678" s="14">
        <v>13805</v>
      </c>
      <c r="N1678" s="14">
        <v>93</v>
      </c>
      <c r="O1678" s="16"/>
      <c r="P1678" s="6">
        <v>41398.572731481479</v>
      </c>
      <c r="Q1678" s="11"/>
      <c r="R1678" s="17" t="s">
        <v>6502</v>
      </c>
      <c r="S1678" s="11"/>
      <c r="T1678" s="11"/>
      <c r="U1678" s="10" t="str">
        <f>HYPERLINK("https://pbs.twimg.com/profile_images/1062865623494131712/UmeE68Gq.jpg","View")</f>
        <v>View</v>
      </c>
    </row>
    <row r="1679" spans="1:21" ht="40.799999999999997">
      <c r="A1679" s="6">
        <v>43439.600150462968</v>
      </c>
      <c r="B1679" s="7" t="str">
        <f>HYPERLINK("https://twitter.com/santimakareno8","@santimakareno8")</f>
        <v>@santimakareno8</v>
      </c>
      <c r="C1679" s="8" t="s">
        <v>6741</v>
      </c>
      <c r="D1679" s="9" t="s">
        <v>6742</v>
      </c>
      <c r="E1679" s="10" t="str">
        <f>HYPERLINK("https://twitter.com/santimakareno8/status/1070307858527543297","1070307858527543297")</f>
        <v>1070307858527543297</v>
      </c>
      <c r="F1679" s="11"/>
      <c r="G1679" s="11"/>
      <c r="H1679" s="11"/>
      <c r="I1679" s="14">
        <v>0</v>
      </c>
      <c r="J1679" s="14">
        <v>1</v>
      </c>
      <c r="K1679" s="15" t="str">
        <f>HYPERLINK("http://twitter.com/download/iphone","Twitter for iPhone")</f>
        <v>Twitter for iPhone</v>
      </c>
      <c r="L1679" s="14">
        <v>578</v>
      </c>
      <c r="M1679" s="14">
        <v>178</v>
      </c>
      <c r="N1679" s="14">
        <v>1</v>
      </c>
      <c r="O1679" s="16"/>
      <c r="P1679" s="6">
        <v>41556.649687500001</v>
      </c>
      <c r="Q1679" s="12" t="s">
        <v>6743</v>
      </c>
      <c r="R1679" s="17" t="s">
        <v>6744</v>
      </c>
      <c r="S1679" s="13" t="s">
        <v>6745</v>
      </c>
      <c r="T1679" s="11"/>
      <c r="U1679" s="10" t="str">
        <f>HYPERLINK("https://pbs.twimg.com/profile_images/1067506440783491078/7hwpNJRy.jpg","View")</f>
        <v>View</v>
      </c>
    </row>
    <row r="1680" spans="1:21" ht="40.799999999999997">
      <c r="A1680" s="6">
        <v>43439.59993055556</v>
      </c>
      <c r="B1680" s="7" t="str">
        <f>HYPERLINK("https://twitter.com/ElMundoEspana","@ElMundoEspana")</f>
        <v>@ElMundoEspana</v>
      </c>
      <c r="C1680" s="8" t="s">
        <v>6746</v>
      </c>
      <c r="D1680" s="9" t="s">
        <v>4269</v>
      </c>
      <c r="E1680" s="10" t="str">
        <f>HYPERLINK("https://twitter.com/ElMundoEspana/status/1070307776977604608","1070307776977604608")</f>
        <v>1070307776977604608</v>
      </c>
      <c r="F1680" s="13" t="s">
        <v>3869</v>
      </c>
      <c r="G1680" s="11"/>
      <c r="H1680" s="11"/>
      <c r="I1680" s="14">
        <v>42</v>
      </c>
      <c r="J1680" s="14">
        <v>108</v>
      </c>
      <c r="K1680" s="15" t="str">
        <f>HYPERLINK("http://twitter.com","Twitter Web Client")</f>
        <v>Twitter Web Client</v>
      </c>
      <c r="L1680" s="14">
        <v>18045</v>
      </c>
      <c r="M1680" s="14">
        <v>652</v>
      </c>
      <c r="N1680" s="14">
        <v>353</v>
      </c>
      <c r="O1680" s="19" t="s">
        <v>42</v>
      </c>
      <c r="P1680" s="6">
        <v>42089.415439814809</v>
      </c>
      <c r="Q1680" s="11"/>
      <c r="R1680" s="17" t="s">
        <v>6747</v>
      </c>
      <c r="S1680" s="13" t="s">
        <v>6748</v>
      </c>
      <c r="T1680" s="11"/>
      <c r="U1680" s="10" t="str">
        <f>HYPERLINK("https://pbs.twimg.com/profile_images/780431237555032064/H6v83dkC.jpg","View")</f>
        <v>View</v>
      </c>
    </row>
    <row r="1681" spans="1:21" ht="61.2">
      <c r="A1681" s="6">
        <v>43439.599733796298</v>
      </c>
      <c r="B1681" s="7" t="str">
        <f>HYPERLINK("https://twitter.com/opinioner26","@opinioner26")</f>
        <v>@opinioner26</v>
      </c>
      <c r="C1681" s="8" t="s">
        <v>257</v>
      </c>
      <c r="D1681" s="9" t="s">
        <v>5546</v>
      </c>
      <c r="E1681" s="10" t="str">
        <f>HYPERLINK("https://twitter.com/opinioner26/status/1070307709466091520","1070307709466091520")</f>
        <v>1070307709466091520</v>
      </c>
      <c r="F1681" s="11"/>
      <c r="G1681" s="11"/>
      <c r="H1681" s="11"/>
      <c r="I1681" s="14">
        <v>16</v>
      </c>
      <c r="J1681" s="14">
        <v>23</v>
      </c>
      <c r="K1681" s="15" t="str">
        <f t="shared" ref="K1681:K1682" si="331">HYPERLINK("http://twitter.com/download/android","Twitter for Android")</f>
        <v>Twitter for Android</v>
      </c>
      <c r="L1681" s="14">
        <v>3681</v>
      </c>
      <c r="M1681" s="14">
        <v>4778</v>
      </c>
      <c r="N1681" s="14">
        <v>3</v>
      </c>
      <c r="O1681" s="16"/>
      <c r="P1681" s="6">
        <v>41342.659386574072</v>
      </c>
      <c r="Q1681" s="12" t="s">
        <v>137</v>
      </c>
      <c r="R1681" s="17" t="s">
        <v>264</v>
      </c>
      <c r="S1681" s="11"/>
      <c r="T1681" s="11"/>
      <c r="U1681" s="10" t="str">
        <f>HYPERLINK("https://pbs.twimg.com/profile_images/1012273439309254662/Dhw3JHA5.jpg","View")</f>
        <v>View</v>
      </c>
    </row>
    <row r="1682" spans="1:21" ht="40.799999999999997">
      <c r="A1682" s="6">
        <v>43439.599108796298</v>
      </c>
      <c r="B1682" s="7" t="str">
        <f>HYPERLINK("https://twitter.com/kodiario_","@kodiario_")</f>
        <v>@kodiario_</v>
      </c>
      <c r="C1682" s="8" t="s">
        <v>6751</v>
      </c>
      <c r="D1682" s="9" t="s">
        <v>6752</v>
      </c>
      <c r="E1682" s="10" t="str">
        <f>HYPERLINK("https://twitter.com/kodiario_/status/1070307480318681089","1070307480318681089")</f>
        <v>1070307480318681089</v>
      </c>
      <c r="F1682" s="13" t="s">
        <v>5905</v>
      </c>
      <c r="G1682" s="11"/>
      <c r="H1682" s="11"/>
      <c r="I1682" s="14">
        <v>24</v>
      </c>
      <c r="J1682" s="14">
        <v>14</v>
      </c>
      <c r="K1682" s="15" t="str">
        <f t="shared" si="331"/>
        <v>Twitter for Android</v>
      </c>
      <c r="L1682" s="14">
        <v>4619</v>
      </c>
      <c r="M1682" s="14">
        <v>332</v>
      </c>
      <c r="N1682" s="14">
        <v>58</v>
      </c>
      <c r="O1682" s="16"/>
      <c r="P1682" s="6">
        <v>42564.053425925929</v>
      </c>
      <c r="Q1682" s="11"/>
      <c r="R1682" s="17" t="s">
        <v>6753</v>
      </c>
      <c r="S1682" s="11"/>
      <c r="T1682" s="11"/>
      <c r="U1682" s="10" t="str">
        <f>HYPERLINK("https://pbs.twimg.com/profile_images/977352060571148288/z2lxbv4P.jpg","View")</f>
        <v>View</v>
      </c>
    </row>
    <row r="1683" spans="1:21" ht="51">
      <c r="A1683" s="6">
        <v>43439.598958333328</v>
      </c>
      <c r="B1683" s="7" t="str">
        <f>HYPERLINK("https://twitter.com/CiudadanosCs","@CiudadanosCs")</f>
        <v>@CiudadanosCs</v>
      </c>
      <c r="C1683" s="8" t="s">
        <v>489</v>
      </c>
      <c r="D1683" s="9" t="s">
        <v>5550</v>
      </c>
      <c r="E1683" s="10" t="str">
        <f>HYPERLINK("https://twitter.com/CiudadanosCs/status/1070307427344703489","1070307427344703489")</f>
        <v>1070307427344703489</v>
      </c>
      <c r="F1683" s="11"/>
      <c r="G1683" s="13" t="s">
        <v>3911</v>
      </c>
      <c r="H1683" s="11"/>
      <c r="I1683" s="14">
        <v>281</v>
      </c>
      <c r="J1683" s="14">
        <v>516</v>
      </c>
      <c r="K1683" s="15" t="str">
        <f>HYPERLINK("https://studio.twitter.com","Twitter Media Studio")</f>
        <v>Twitter Media Studio</v>
      </c>
      <c r="L1683" s="14">
        <v>490821</v>
      </c>
      <c r="M1683" s="14">
        <v>93557</v>
      </c>
      <c r="N1683" s="14">
        <v>3338</v>
      </c>
      <c r="O1683" s="19" t="s">
        <v>42</v>
      </c>
      <c r="P1683" s="6">
        <v>39828.753460648149</v>
      </c>
      <c r="Q1683" s="12" t="s">
        <v>137</v>
      </c>
      <c r="R1683" s="17" t="s">
        <v>492</v>
      </c>
      <c r="S1683" s="13" t="s">
        <v>493</v>
      </c>
      <c r="T1683" s="11"/>
      <c r="U1683" s="10" t="str">
        <f>HYPERLINK("https://pbs.twimg.com/profile_images/1053554096161075200/1z77_zBZ.jpg","View")</f>
        <v>View</v>
      </c>
    </row>
    <row r="1684" spans="1:21" ht="71.400000000000006">
      <c r="A1684" s="6">
        <v>43439.598159722227</v>
      </c>
      <c r="B1684" s="7" t="str">
        <f>HYPERLINK("https://twitter.com/carlosquiven","@carlosquiven")</f>
        <v>@carlosquiven</v>
      </c>
      <c r="C1684" s="8" t="s">
        <v>6756</v>
      </c>
      <c r="D1684" s="9" t="s">
        <v>6757</v>
      </c>
      <c r="E1684" s="10" t="str">
        <f>HYPERLINK("https://twitter.com/carlosquiven/status/1070307136142495744","1070307136142495744")</f>
        <v>1070307136142495744</v>
      </c>
      <c r="F1684" s="12" t="s">
        <v>6758</v>
      </c>
      <c r="G1684" s="13" t="s">
        <v>6759</v>
      </c>
      <c r="H1684" s="11"/>
      <c r="I1684" s="14">
        <v>1</v>
      </c>
      <c r="J1684" s="14">
        <v>0</v>
      </c>
      <c r="K1684" s="15" t="str">
        <f t="shared" ref="K1684:K1687" si="332">HYPERLINK("http://twitter.com/download/android","Twitter for Android")</f>
        <v>Twitter for Android</v>
      </c>
      <c r="L1684" s="14">
        <v>333</v>
      </c>
      <c r="M1684" s="14">
        <v>1111</v>
      </c>
      <c r="N1684" s="14">
        <v>3</v>
      </c>
      <c r="O1684" s="16"/>
      <c r="P1684" s="6">
        <v>41466.821157407408</v>
      </c>
      <c r="Q1684" s="12" t="s">
        <v>6761</v>
      </c>
      <c r="R1684" s="17" t="s">
        <v>6762</v>
      </c>
      <c r="S1684" s="11"/>
      <c r="T1684" s="11"/>
      <c r="U1684" s="10" t="str">
        <f>HYPERLINK("https://pbs.twimg.com/profile_images/1056166500300664834/LANfUWF1.jpg","View")</f>
        <v>View</v>
      </c>
    </row>
    <row r="1685" spans="1:21" ht="40.799999999999997">
      <c r="A1685" s="6">
        <v>43439.597175925926</v>
      </c>
      <c r="B1685" s="7" t="str">
        <f>HYPERLINK("https://twitter.com/Cs_Guadalajara","@Cs_Guadalajara")</f>
        <v>@Cs_Guadalajara</v>
      </c>
      <c r="C1685" s="8" t="s">
        <v>2238</v>
      </c>
      <c r="D1685" s="9" t="s">
        <v>5556</v>
      </c>
      <c r="E1685" s="10" t="str">
        <f>HYPERLINK("https://twitter.com/Cs_Guadalajara/status/1070306782378119168","1070306782378119168")</f>
        <v>1070306782378119168</v>
      </c>
      <c r="F1685" s="13" t="s">
        <v>2349</v>
      </c>
      <c r="G1685" s="11"/>
      <c r="H1685" s="11"/>
      <c r="I1685" s="14">
        <v>10</v>
      </c>
      <c r="J1685" s="14">
        <v>15</v>
      </c>
      <c r="K1685" s="15" t="str">
        <f t="shared" si="332"/>
        <v>Twitter for Android</v>
      </c>
      <c r="L1685" s="14">
        <v>3213</v>
      </c>
      <c r="M1685" s="14">
        <v>2390</v>
      </c>
      <c r="N1685" s="14">
        <v>56</v>
      </c>
      <c r="O1685" s="16"/>
      <c r="P1685" s="6">
        <v>41874.941435185188</v>
      </c>
      <c r="Q1685" s="12" t="s">
        <v>2244</v>
      </c>
      <c r="R1685" s="17" t="s">
        <v>2245</v>
      </c>
      <c r="S1685" s="13" t="s">
        <v>2246</v>
      </c>
      <c r="T1685" s="11"/>
      <c r="U1685" s="10" t="str">
        <f>HYPERLINK("https://pbs.twimg.com/profile_images/899521302339493888/baoQBrzP.jpg","View")</f>
        <v>View</v>
      </c>
    </row>
    <row r="1686" spans="1:21" ht="51">
      <c r="A1686" s="6">
        <v>43439.59679398148</v>
      </c>
      <c r="B1686" s="7" t="str">
        <f>HYPERLINK("https://twitter.com/pergarpi","@pergarpi")</f>
        <v>@pergarpi</v>
      </c>
      <c r="C1686" s="8" t="s">
        <v>2712</v>
      </c>
      <c r="D1686" s="9" t="s">
        <v>5558</v>
      </c>
      <c r="E1686" s="10" t="str">
        <f>HYPERLINK("https://twitter.com/pergarpi/status/1070306643278221312","1070306643278221312")</f>
        <v>1070306643278221312</v>
      </c>
      <c r="F1686" s="11"/>
      <c r="G1686" s="11"/>
      <c r="H1686" s="11"/>
      <c r="I1686" s="14">
        <v>0</v>
      </c>
      <c r="J1686" s="14">
        <v>0</v>
      </c>
      <c r="K1686" s="15" t="str">
        <f t="shared" si="332"/>
        <v>Twitter for Android</v>
      </c>
      <c r="L1686" s="14">
        <v>805</v>
      </c>
      <c r="M1686" s="14">
        <v>1463</v>
      </c>
      <c r="N1686" s="14">
        <v>14</v>
      </c>
      <c r="O1686" s="16"/>
      <c r="P1686" s="6">
        <v>41635.422430555554</v>
      </c>
      <c r="Q1686" s="12" t="s">
        <v>2714</v>
      </c>
      <c r="R1686" s="17" t="s">
        <v>2715</v>
      </c>
      <c r="S1686" s="11"/>
      <c r="T1686" s="11"/>
      <c r="U1686" s="10" t="str">
        <f>HYPERLINK("https://pbs.twimg.com/profile_images/1039481741512200194/Qz2Zl8Uq.jpg","View")</f>
        <v>View</v>
      </c>
    </row>
    <row r="1687" spans="1:21" ht="91.8">
      <c r="A1687" s="6">
        <v>43439.595393518517</v>
      </c>
      <c r="B1687" s="7" t="str">
        <f>HYPERLINK("https://twitter.com/JournalRupert","@JournalRupert")</f>
        <v>@JournalRupert</v>
      </c>
      <c r="C1687" s="8" t="s">
        <v>5560</v>
      </c>
      <c r="D1687" s="9" t="s">
        <v>5561</v>
      </c>
      <c r="E1687" s="10" t="str">
        <f>HYPERLINK("https://twitter.com/JournalRupert/status/1070306135809363969","1070306135809363969")</f>
        <v>1070306135809363969</v>
      </c>
      <c r="F1687" s="12" t="s">
        <v>169</v>
      </c>
      <c r="G1687" s="13" t="s">
        <v>170</v>
      </c>
      <c r="H1687" s="11"/>
      <c r="I1687" s="14">
        <v>0</v>
      </c>
      <c r="J1687" s="14">
        <v>0</v>
      </c>
      <c r="K1687" s="15" t="str">
        <f t="shared" si="332"/>
        <v>Twitter for Android</v>
      </c>
      <c r="L1687" s="14">
        <v>86</v>
      </c>
      <c r="M1687" s="14">
        <v>245</v>
      </c>
      <c r="N1687" s="14">
        <v>0</v>
      </c>
      <c r="O1687" s="16"/>
      <c r="P1687" s="6">
        <v>43334.900057870371</v>
      </c>
      <c r="Q1687" s="12" t="s">
        <v>5562</v>
      </c>
      <c r="R1687" s="17" t="s">
        <v>5563</v>
      </c>
      <c r="S1687" s="11"/>
      <c r="T1687" s="11"/>
      <c r="U1687" s="10" t="str">
        <f>HYPERLINK("https://pbs.twimg.com/profile_images/1039735320315666432/Kr0kMdMq.jpg","View")</f>
        <v>View</v>
      </c>
    </row>
    <row r="1688" spans="1:21" ht="40.799999999999997">
      <c r="A1688" s="6">
        <v>43439.594976851848</v>
      </c>
      <c r="B1688" s="7" t="str">
        <f>HYPERLINK("https://twitter.com/FraSurace","@FraSurace")</f>
        <v>@FraSurace</v>
      </c>
      <c r="C1688" s="8" t="s">
        <v>5564</v>
      </c>
      <c r="D1688" s="9" t="s">
        <v>5565</v>
      </c>
      <c r="E1688" s="10" t="str">
        <f>HYPERLINK("https://twitter.com/FraSurace/status/1070305981777764353","1070305981777764353")</f>
        <v>1070305981777764353</v>
      </c>
      <c r="F1688" s="12" t="s">
        <v>5566</v>
      </c>
      <c r="G1688" s="11"/>
      <c r="H1688" s="11"/>
      <c r="I1688" s="14">
        <v>0</v>
      </c>
      <c r="J1688" s="14">
        <v>1</v>
      </c>
      <c r="K1688" s="15" t="str">
        <f>HYPERLINK("http://twitter.com/download/iphone","Twitter for iPhone")</f>
        <v>Twitter for iPhone</v>
      </c>
      <c r="L1688" s="14">
        <v>342</v>
      </c>
      <c r="M1688" s="14">
        <v>770</v>
      </c>
      <c r="N1688" s="14">
        <v>3</v>
      </c>
      <c r="O1688" s="16"/>
      <c r="P1688" s="6">
        <v>40209.862256944441</v>
      </c>
      <c r="Q1688" s="12" t="s">
        <v>5207</v>
      </c>
      <c r="R1688" s="17" t="s">
        <v>5567</v>
      </c>
      <c r="S1688" s="11"/>
      <c r="T1688" s="11"/>
      <c r="U1688" s="10" t="str">
        <f>HYPERLINK("https://pbs.twimg.com/profile_images/1067517845947465728/f1uz4_xN.jpg","View")</f>
        <v>View</v>
      </c>
    </row>
    <row r="1689" spans="1:21" ht="61.2">
      <c r="A1689" s="6">
        <v>43439.594502314816</v>
      </c>
      <c r="B1689" s="7" t="str">
        <f>HYPERLINK("https://twitter.com/JoanJMP","@JoanJMP")</f>
        <v>@JoanJMP</v>
      </c>
      <c r="C1689" s="8" t="s">
        <v>6771</v>
      </c>
      <c r="D1689" s="9" t="s">
        <v>6772</v>
      </c>
      <c r="E1689" s="10" t="str">
        <f>HYPERLINK("https://twitter.com/JoanJMP/status/1070305812558606336","1070305812558606336")</f>
        <v>1070305812558606336</v>
      </c>
      <c r="F1689" s="12" t="s">
        <v>169</v>
      </c>
      <c r="G1689" s="13" t="s">
        <v>170</v>
      </c>
      <c r="H1689" s="11"/>
      <c r="I1689" s="14">
        <v>18</v>
      </c>
      <c r="J1689" s="14">
        <v>20</v>
      </c>
      <c r="K1689" s="15" t="str">
        <f t="shared" ref="K1689:K1691" si="333">HYPERLINK("http://twitter.com","Twitter Web Client")</f>
        <v>Twitter Web Client</v>
      </c>
      <c r="L1689" s="14">
        <v>929</v>
      </c>
      <c r="M1689" s="14">
        <v>424</v>
      </c>
      <c r="N1689" s="14">
        <v>24</v>
      </c>
      <c r="O1689" s="16"/>
      <c r="P1689" s="6">
        <v>40594.667696759258</v>
      </c>
      <c r="Q1689" s="12" t="s">
        <v>288</v>
      </c>
      <c r="R1689" s="17" t="s">
        <v>6773</v>
      </c>
      <c r="S1689" s="11"/>
      <c r="T1689" s="11"/>
      <c r="U1689" s="10" t="str">
        <f>HYPERLINK("https://pbs.twimg.com/profile_images/1050518849362292736/gui9XI5R.jpg","View")</f>
        <v>View</v>
      </c>
    </row>
    <row r="1690" spans="1:21" ht="91.8">
      <c r="A1690" s="6">
        <v>43439.594305555554</v>
      </c>
      <c r="B1690" s="7" t="str">
        <f>HYPERLINK("https://twitter.com/EdwarFortimagen","@EdwarFortimagen")</f>
        <v>@EdwarFortimagen</v>
      </c>
      <c r="C1690" s="8" t="s">
        <v>5569</v>
      </c>
      <c r="D1690" s="9" t="s">
        <v>5570</v>
      </c>
      <c r="E1690" s="10" t="str">
        <f>HYPERLINK("https://twitter.com/EdwarFortimagen/status/1070305739170816000","1070305739170816000")</f>
        <v>1070305739170816000</v>
      </c>
      <c r="F1690" s="13" t="s">
        <v>5572</v>
      </c>
      <c r="G1690" s="13" t="s">
        <v>5574</v>
      </c>
      <c r="H1690" s="11"/>
      <c r="I1690" s="14">
        <v>0</v>
      </c>
      <c r="J1690" s="14">
        <v>0</v>
      </c>
      <c r="K1690" s="15" t="str">
        <f t="shared" si="333"/>
        <v>Twitter Web Client</v>
      </c>
      <c r="L1690" s="14">
        <v>131</v>
      </c>
      <c r="M1690" s="14">
        <v>361</v>
      </c>
      <c r="N1690" s="14">
        <v>0</v>
      </c>
      <c r="O1690" s="16"/>
      <c r="P1690" s="6">
        <v>41073.619293981479</v>
      </c>
      <c r="Q1690" s="12" t="s">
        <v>137</v>
      </c>
      <c r="R1690" s="17" t="s">
        <v>5575</v>
      </c>
      <c r="S1690" s="11"/>
      <c r="T1690" s="11"/>
      <c r="U1690" s="10" t="str">
        <f>HYPERLINK("https://pbs.twimg.com/profile_images/984423561476657152/sSZynsV3.jpg","View")</f>
        <v>View</v>
      </c>
    </row>
    <row r="1691" spans="1:21" ht="13.2">
      <c r="A1691" s="6">
        <v>43439.59239583333</v>
      </c>
      <c r="B1691" s="7" t="str">
        <f>HYPERLINK("https://twitter.com/VicenteBuitrnPo","@VicenteBuitrnPo")</f>
        <v>@VicenteBuitrnPo</v>
      </c>
      <c r="C1691" s="8" t="s">
        <v>6774</v>
      </c>
      <c r="D1691" s="9" t="s">
        <v>4854</v>
      </c>
      <c r="E1691" s="10" t="str">
        <f>HYPERLINK("https://twitter.com/VicenteBuitrnPo/status/1070305050336129024","1070305050336129024")</f>
        <v>1070305050336129024</v>
      </c>
      <c r="F1691" s="13" t="s">
        <v>4856</v>
      </c>
      <c r="G1691" s="11"/>
      <c r="H1691" s="11"/>
      <c r="I1691" s="14">
        <v>0</v>
      </c>
      <c r="J1691" s="14">
        <v>0</v>
      </c>
      <c r="K1691" s="15" t="str">
        <f t="shared" si="333"/>
        <v>Twitter Web Client</v>
      </c>
      <c r="L1691" s="14">
        <v>47</v>
      </c>
      <c r="M1691" s="14">
        <v>208</v>
      </c>
      <c r="N1691" s="14">
        <v>0</v>
      </c>
      <c r="O1691" s="16"/>
      <c r="P1691" s="6">
        <v>40855.633194444446</v>
      </c>
      <c r="Q1691" s="12" t="s">
        <v>29</v>
      </c>
      <c r="R1691" s="18"/>
      <c r="S1691" s="11"/>
      <c r="T1691" s="11"/>
      <c r="U1691" s="19" t="s">
        <v>629</v>
      </c>
    </row>
    <row r="1692" spans="1:21" ht="51">
      <c r="A1692" s="6">
        <v>43439.59065972222</v>
      </c>
      <c r="B1692" s="7" t="str">
        <f>HYPERLINK("https://twitter.com/ExpositoOrteg","@ExpositoOrteg")</f>
        <v>@ExpositoOrteg</v>
      </c>
      <c r="C1692" s="8" t="s">
        <v>5578</v>
      </c>
      <c r="D1692" s="9" t="s">
        <v>5579</v>
      </c>
      <c r="E1692" s="10" t="str">
        <f>HYPERLINK("https://twitter.com/ExpositoOrteg/status/1070304421114986496","1070304421114986496")</f>
        <v>1070304421114986496</v>
      </c>
      <c r="F1692" s="13" t="s">
        <v>5581</v>
      </c>
      <c r="G1692" s="11"/>
      <c r="H1692" s="11"/>
      <c r="I1692" s="14">
        <v>21</v>
      </c>
      <c r="J1692" s="14">
        <v>8</v>
      </c>
      <c r="K1692" s="15" t="str">
        <f>HYPERLINK("http://twitter.com/download/android","Twitter for Android")</f>
        <v>Twitter for Android</v>
      </c>
      <c r="L1692" s="14">
        <v>19930</v>
      </c>
      <c r="M1692" s="14">
        <v>12986</v>
      </c>
      <c r="N1692" s="14">
        <v>108</v>
      </c>
      <c r="O1692" s="16"/>
      <c r="P1692" s="6">
        <v>41567.481932870374</v>
      </c>
      <c r="Q1692" s="12" t="s">
        <v>5582</v>
      </c>
      <c r="R1692" s="17" t="s">
        <v>5583</v>
      </c>
      <c r="S1692" s="11"/>
      <c r="T1692" s="11"/>
      <c r="U1692" s="10" t="str">
        <f>HYPERLINK("https://pbs.twimg.com/profile_images/1069345462342377477/JHTQmxQT.jpg","View")</f>
        <v>View</v>
      </c>
    </row>
    <row r="1693" spans="1:21" ht="30.6">
      <c r="A1693" s="6">
        <v>43439.590486111112</v>
      </c>
      <c r="B1693" s="7" t="str">
        <f>HYPERLINK("https://twitter.com/Noticias24horas","@Noticias24horas")</f>
        <v>@Noticias24horas</v>
      </c>
      <c r="C1693" s="8" t="s">
        <v>2870</v>
      </c>
      <c r="D1693" s="9" t="s">
        <v>6779</v>
      </c>
      <c r="E1693" s="10" t="str">
        <f>HYPERLINK("https://twitter.com/Noticias24horas/status/1070304355532857345","1070304355532857345")</f>
        <v>1070304355532857345</v>
      </c>
      <c r="F1693" s="13" t="s">
        <v>6780</v>
      </c>
      <c r="G1693" s="11"/>
      <c r="H1693" s="11"/>
      <c r="I1693" s="14">
        <v>2</v>
      </c>
      <c r="J1693" s="14">
        <v>1</v>
      </c>
      <c r="K1693" s="15" t="str">
        <f t="shared" ref="K1693:K1694" si="334">HYPERLINK("http://twitter.com","Twitter Web Client")</f>
        <v>Twitter Web Client</v>
      </c>
      <c r="L1693" s="14">
        <v>48037</v>
      </c>
      <c r="M1693" s="14">
        <v>14696</v>
      </c>
      <c r="N1693" s="14">
        <v>624</v>
      </c>
      <c r="O1693" s="16"/>
      <c r="P1693" s="6">
        <v>39799.161666666667</v>
      </c>
      <c r="Q1693" s="12" t="s">
        <v>2874</v>
      </c>
      <c r="R1693" s="17" t="s">
        <v>2875</v>
      </c>
      <c r="S1693" s="13" t="s">
        <v>2876</v>
      </c>
      <c r="T1693" s="11"/>
      <c r="U1693" s="10" t="str">
        <f>HYPERLINK("https://pbs.twimg.com/profile_images/739091131011567616/GfKL7dJ1.jpg","View")</f>
        <v>View</v>
      </c>
    </row>
    <row r="1694" spans="1:21" ht="51">
      <c r="A1694" s="6">
        <v>43439.590115740742</v>
      </c>
      <c r="B1694" s="7" t="str">
        <f>HYPERLINK("https://twitter.com/lectoracorrent","@lectoracorrent")</f>
        <v>@lectoracorrent</v>
      </c>
      <c r="C1694" s="8" t="s">
        <v>5584</v>
      </c>
      <c r="D1694" s="9" t="s">
        <v>5585</v>
      </c>
      <c r="E1694" s="10" t="str">
        <f>HYPERLINK("https://twitter.com/lectoracorrent/status/1070304223286489090","1070304223286489090")</f>
        <v>1070304223286489090</v>
      </c>
      <c r="F1694" s="11"/>
      <c r="G1694" s="13" t="s">
        <v>5586</v>
      </c>
      <c r="H1694" s="11"/>
      <c r="I1694" s="14">
        <v>0</v>
      </c>
      <c r="J1694" s="14">
        <v>0</v>
      </c>
      <c r="K1694" s="15" t="str">
        <f t="shared" si="334"/>
        <v>Twitter Web Client</v>
      </c>
      <c r="L1694" s="14">
        <v>1327</v>
      </c>
      <c r="M1694" s="14">
        <v>998</v>
      </c>
      <c r="N1694" s="14">
        <v>131</v>
      </c>
      <c r="O1694" s="16"/>
      <c r="P1694" s="6">
        <v>40254.547152777777</v>
      </c>
      <c r="Q1694" s="12" t="s">
        <v>83</v>
      </c>
      <c r="R1694" s="17" t="s">
        <v>5587</v>
      </c>
      <c r="S1694" s="13" t="s">
        <v>5588</v>
      </c>
      <c r="T1694" s="11"/>
      <c r="U1694" s="10" t="str">
        <f>HYPERLINK("https://pbs.twimg.com/profile_images/1013036017543254016/LhCuTs3T.jpg","View")</f>
        <v>View</v>
      </c>
    </row>
    <row r="1695" spans="1:21" ht="30.6">
      <c r="A1695" s="6">
        <v>43439.590057870373</v>
      </c>
      <c r="B1695" s="7" t="str">
        <f>HYPERLINK("https://twitter.com/_Tatianium","@_Tatianium")</f>
        <v>@_Tatianium</v>
      </c>
      <c r="C1695" s="8" t="s">
        <v>5589</v>
      </c>
      <c r="D1695" s="9" t="s">
        <v>5590</v>
      </c>
      <c r="E1695" s="10" t="str">
        <f>HYPERLINK("https://twitter.com/_Tatianium/status/1070304199802568706","1070304199802568706")</f>
        <v>1070304199802568706</v>
      </c>
      <c r="F1695" s="12" t="s">
        <v>5592</v>
      </c>
      <c r="G1695" s="11"/>
      <c r="H1695" s="11"/>
      <c r="I1695" s="14">
        <v>0</v>
      </c>
      <c r="J1695" s="14">
        <v>0</v>
      </c>
      <c r="K1695" s="15" t="str">
        <f>HYPERLINK("https://mobile.twitter.com","Twitter Lite")</f>
        <v>Twitter Lite</v>
      </c>
      <c r="L1695" s="14">
        <v>577</v>
      </c>
      <c r="M1695" s="14">
        <v>611</v>
      </c>
      <c r="N1695" s="14">
        <v>12</v>
      </c>
      <c r="O1695" s="16"/>
      <c r="P1695" s="6">
        <v>40257.566620370373</v>
      </c>
      <c r="Q1695" s="12" t="s">
        <v>5594</v>
      </c>
      <c r="R1695" s="17" t="s">
        <v>5595</v>
      </c>
      <c r="S1695" s="13" t="s">
        <v>5596</v>
      </c>
      <c r="T1695" s="11"/>
      <c r="U1695" s="10" t="str">
        <f>HYPERLINK("https://pbs.twimg.com/profile_images/841618953768194048/BJ_ZejmR.jpg","View")</f>
        <v>View</v>
      </c>
    </row>
    <row r="1696" spans="1:21" ht="30.6">
      <c r="A1696" s="6">
        <v>43439.589907407411</v>
      </c>
      <c r="B1696" s="7" t="str">
        <f t="shared" ref="B1696:B1697" si="335">HYPERLINK("https://twitter.com/okdiario","@okdiario")</f>
        <v>@okdiario</v>
      </c>
      <c r="C1696" s="8" t="s">
        <v>5597</v>
      </c>
      <c r="D1696" s="9" t="s">
        <v>5598</v>
      </c>
      <c r="E1696" s="10" t="str">
        <f>HYPERLINK("https://twitter.com/okdiario/status/1070304146958499841","1070304146958499841")</f>
        <v>1070304146958499841</v>
      </c>
      <c r="F1696" s="13" t="s">
        <v>5601</v>
      </c>
      <c r="G1696" s="11"/>
      <c r="H1696" s="11"/>
      <c r="I1696" s="14">
        <v>13</v>
      </c>
      <c r="J1696" s="14">
        <v>15</v>
      </c>
      <c r="K1696" s="15" t="str">
        <f t="shared" ref="K1696:K1697" si="336">HYPERLINK("https://www.echobox.com","Echobox Social")</f>
        <v>Echobox Social</v>
      </c>
      <c r="L1696" s="14">
        <v>112408</v>
      </c>
      <c r="M1696" s="14">
        <v>343</v>
      </c>
      <c r="N1696" s="14">
        <v>1440</v>
      </c>
      <c r="O1696" s="19" t="s">
        <v>42</v>
      </c>
      <c r="P1696" s="6">
        <v>42241.708229166667</v>
      </c>
      <c r="Q1696" s="11"/>
      <c r="R1696" s="17" t="s">
        <v>5604</v>
      </c>
      <c r="S1696" s="13" t="s">
        <v>5605</v>
      </c>
      <c r="T1696" s="11"/>
      <c r="U1696" s="10" t="str">
        <f t="shared" ref="U1696:U1697" si="337">HYPERLINK("https://pbs.twimg.com/profile_images/789113773697208320/3LvFvi8Q.jpg","View")</f>
        <v>View</v>
      </c>
    </row>
    <row r="1697" spans="1:21" ht="30.6">
      <c r="A1697" s="6">
        <v>43439.589525462958</v>
      </c>
      <c r="B1697" s="7" t="str">
        <f t="shared" si="335"/>
        <v>@okdiario</v>
      </c>
      <c r="C1697" s="8" t="s">
        <v>5597</v>
      </c>
      <c r="D1697" s="9" t="s">
        <v>5606</v>
      </c>
      <c r="E1697" s="10" t="str">
        <f>HYPERLINK("https://twitter.com/okdiario/status/1070304008005435394","1070304008005435394")</f>
        <v>1070304008005435394</v>
      </c>
      <c r="F1697" s="13" t="s">
        <v>5607</v>
      </c>
      <c r="G1697" s="11"/>
      <c r="H1697" s="11"/>
      <c r="I1697" s="14">
        <v>2</v>
      </c>
      <c r="J1697" s="14">
        <v>11</v>
      </c>
      <c r="K1697" s="15" t="str">
        <f t="shared" si="336"/>
        <v>Echobox Social</v>
      </c>
      <c r="L1697" s="14">
        <v>112408</v>
      </c>
      <c r="M1697" s="14">
        <v>343</v>
      </c>
      <c r="N1697" s="14">
        <v>1440</v>
      </c>
      <c r="O1697" s="19" t="s">
        <v>42</v>
      </c>
      <c r="P1697" s="6">
        <v>42241.708229166667</v>
      </c>
      <c r="Q1697" s="11"/>
      <c r="R1697" s="17" t="s">
        <v>5604</v>
      </c>
      <c r="S1697" s="13" t="s">
        <v>5605</v>
      </c>
      <c r="T1697" s="11"/>
      <c r="U1697" s="10" t="str">
        <f t="shared" si="337"/>
        <v>View</v>
      </c>
    </row>
    <row r="1698" spans="1:21" ht="20.399999999999999">
      <c r="A1698" s="6">
        <v>43439.589444444442</v>
      </c>
      <c r="B1698" s="7" t="str">
        <f>HYPERLINK("https://twitter.com/ValladolidSER","@ValladolidSER")</f>
        <v>@ValladolidSER</v>
      </c>
      <c r="C1698" s="8" t="s">
        <v>6792</v>
      </c>
      <c r="D1698" s="9" t="s">
        <v>6793</v>
      </c>
      <c r="E1698" s="10" t="str">
        <f>HYPERLINK("https://twitter.com/ValladolidSER/status/1070303979236745216","1070303979236745216")</f>
        <v>1070303979236745216</v>
      </c>
      <c r="F1698" s="13" t="s">
        <v>6796</v>
      </c>
      <c r="G1698" s="11"/>
      <c r="H1698" s="11"/>
      <c r="I1698" s="14">
        <v>0</v>
      </c>
      <c r="J1698" s="14">
        <v>1</v>
      </c>
      <c r="K1698" s="15" t="str">
        <f>HYPERLINK("http://twitter.com","Twitter Web Client")</f>
        <v>Twitter Web Client</v>
      </c>
      <c r="L1698" s="14">
        <v>5385</v>
      </c>
      <c r="M1698" s="14">
        <v>64</v>
      </c>
      <c r="N1698" s="14">
        <v>118</v>
      </c>
      <c r="O1698" s="16"/>
      <c r="P1698" s="6">
        <v>41323.539444444446</v>
      </c>
      <c r="Q1698" s="12" t="s">
        <v>6797</v>
      </c>
      <c r="R1698" s="17" t="s">
        <v>6798</v>
      </c>
      <c r="S1698" s="13" t="s">
        <v>6799</v>
      </c>
      <c r="T1698" s="11"/>
      <c r="U1698" s="10" t="str">
        <f>HYPERLINK("https://pbs.twimg.com/profile_images/1039933751466360834/vGAz5EjW.jpg","View")</f>
        <v>View</v>
      </c>
    </row>
    <row r="1699" spans="1:21" ht="71.400000000000006">
      <c r="A1699" s="6">
        <v>43439.589328703703</v>
      </c>
      <c r="B1699" s="7" t="str">
        <f>HYPERLINK("https://twitter.com/josepatches","@josepatches")</f>
        <v>@josepatches</v>
      </c>
      <c r="C1699" s="8" t="s">
        <v>6802</v>
      </c>
      <c r="D1699" s="9" t="s">
        <v>6803</v>
      </c>
      <c r="E1699" s="10" t="str">
        <f>HYPERLINK("https://twitter.com/josepatches/status/1070303935800492032","1070303935800492032")</f>
        <v>1070303935800492032</v>
      </c>
      <c r="F1699" s="13" t="s">
        <v>6804</v>
      </c>
      <c r="G1699" s="11"/>
      <c r="H1699" s="11"/>
      <c r="I1699" s="14">
        <v>0</v>
      </c>
      <c r="J1699" s="14">
        <v>0</v>
      </c>
      <c r="K1699" s="15" t="str">
        <f>HYPERLINK("http://twitter.com/download/android","Twitter for Android")</f>
        <v>Twitter for Android</v>
      </c>
      <c r="L1699" s="14">
        <v>710</v>
      </c>
      <c r="M1699" s="14">
        <v>1151</v>
      </c>
      <c r="N1699" s="14">
        <v>15</v>
      </c>
      <c r="O1699" s="16"/>
      <c r="P1699" s="6">
        <v>40103.690289351856</v>
      </c>
      <c r="Q1699" s="12" t="s">
        <v>6807</v>
      </c>
      <c r="R1699" s="17" t="s">
        <v>6808</v>
      </c>
      <c r="S1699" s="13" t="s">
        <v>6809</v>
      </c>
      <c r="T1699" s="11"/>
      <c r="U1699" s="10" t="str">
        <f>HYPERLINK("https://pbs.twimg.com/profile_images/701174978725724162/1RUVQZAS.jpg","View")</f>
        <v>View</v>
      </c>
    </row>
    <row r="1700" spans="1:21" ht="40.799999999999997">
      <c r="A1700" s="6">
        <v>43439.587893518517</v>
      </c>
      <c r="B1700" s="7" t="str">
        <f>HYPERLINK("https://twitter.com/opinaryopinar","@opinaryopinar")</f>
        <v>@opinaryopinar</v>
      </c>
      <c r="C1700" s="8" t="s">
        <v>5608</v>
      </c>
      <c r="D1700" s="9" t="s">
        <v>5609</v>
      </c>
      <c r="E1700" s="10" t="str">
        <f>HYPERLINK("https://twitter.com/opinaryopinar/status/1070303418726711297","1070303418726711297")</f>
        <v>1070303418726711297</v>
      </c>
      <c r="F1700" s="11"/>
      <c r="G1700" s="11"/>
      <c r="H1700" s="11"/>
      <c r="I1700" s="14">
        <v>0</v>
      </c>
      <c r="J1700" s="14">
        <v>0</v>
      </c>
      <c r="K1700" s="15" t="str">
        <f>HYPERLINK("http://twitter.com/download/iphone","Twitter for iPhone")</f>
        <v>Twitter for iPhone</v>
      </c>
      <c r="L1700" s="14">
        <v>3</v>
      </c>
      <c r="M1700" s="14">
        <v>33</v>
      </c>
      <c r="N1700" s="14">
        <v>0</v>
      </c>
      <c r="O1700" s="16"/>
      <c r="P1700" s="6">
        <v>43431.456469907411</v>
      </c>
      <c r="Q1700" s="12" t="s">
        <v>5612</v>
      </c>
      <c r="R1700" s="18"/>
      <c r="S1700" s="11"/>
      <c r="T1700" s="11"/>
      <c r="U1700" s="10" t="str">
        <f>HYPERLINK("https://pbs.twimg.com/profile_images/1067359306138492928/WZM9yOM2.jpg","View")</f>
        <v>View</v>
      </c>
    </row>
    <row r="1701" spans="1:21" ht="51">
      <c r="A1701" s="6">
        <v>43439.587777777779</v>
      </c>
      <c r="B1701" s="7" t="str">
        <f>HYPERLINK("https://twitter.com/Sevilla24H","@Sevilla24H")</f>
        <v>@Sevilla24H</v>
      </c>
      <c r="C1701" s="8" t="s">
        <v>3370</v>
      </c>
      <c r="D1701" s="9" t="s">
        <v>6817</v>
      </c>
      <c r="E1701" s="10" t="str">
        <f>HYPERLINK("https://twitter.com/Sevilla24H/status/1070303376938844160","1070303376938844160")</f>
        <v>1070303376938844160</v>
      </c>
      <c r="F1701" s="13" t="s">
        <v>6818</v>
      </c>
      <c r="G1701" s="11"/>
      <c r="H1701" s="11"/>
      <c r="I1701" s="14">
        <v>0</v>
      </c>
      <c r="J1701" s="14">
        <v>0</v>
      </c>
      <c r="K1701" s="15" t="str">
        <f>HYPERLINK("https://ifttt.com","IFTTT")</f>
        <v>IFTTT</v>
      </c>
      <c r="L1701" s="14">
        <v>511</v>
      </c>
      <c r="M1701" s="14">
        <v>750</v>
      </c>
      <c r="N1701" s="14">
        <v>11</v>
      </c>
      <c r="O1701" s="16"/>
      <c r="P1701" s="6">
        <v>41294.599583333329</v>
      </c>
      <c r="Q1701" s="12" t="s">
        <v>3374</v>
      </c>
      <c r="R1701" s="17" t="s">
        <v>3375</v>
      </c>
      <c r="S1701" s="13" t="s">
        <v>3376</v>
      </c>
      <c r="T1701" s="11"/>
      <c r="U1701" s="10" t="str">
        <f>HYPERLINK("https://pbs.twimg.com/profile_images/833777334108975104/fgeZLBXg.jpg","View")</f>
        <v>View</v>
      </c>
    </row>
    <row r="1702" spans="1:21" ht="40.799999999999997">
      <c r="A1702" s="6">
        <v>43439.587743055556</v>
      </c>
      <c r="B1702" s="7" t="str">
        <f>HYPERLINK("https://twitter.com/agus_m_altes","@agus_m_altes")</f>
        <v>@agus_m_altes</v>
      </c>
      <c r="C1702" s="8" t="s">
        <v>5615</v>
      </c>
      <c r="D1702" s="9" t="s">
        <v>5616</v>
      </c>
      <c r="E1702" s="10" t="str">
        <f>HYPERLINK("https://twitter.com/agus_m_altes/status/1070303360312635394","1070303360312635394")</f>
        <v>1070303360312635394</v>
      </c>
      <c r="F1702" s="13" t="s">
        <v>5617</v>
      </c>
      <c r="G1702" s="11"/>
      <c r="H1702" s="11"/>
      <c r="I1702" s="14">
        <v>0</v>
      </c>
      <c r="J1702" s="14">
        <v>0</v>
      </c>
      <c r="K1702" s="15" t="str">
        <f t="shared" ref="K1702:K1703" si="338">HYPERLINK("http://twitter.com/download/android","Twitter for Android")</f>
        <v>Twitter for Android</v>
      </c>
      <c r="L1702" s="14">
        <v>484</v>
      </c>
      <c r="M1702" s="14">
        <v>1204</v>
      </c>
      <c r="N1702" s="14">
        <v>1</v>
      </c>
      <c r="O1702" s="16"/>
      <c r="P1702" s="6">
        <v>42968.503333333334</v>
      </c>
      <c r="Q1702" s="11"/>
      <c r="R1702" s="17" t="s">
        <v>5618</v>
      </c>
      <c r="S1702" s="11"/>
      <c r="T1702" s="11"/>
      <c r="U1702" s="10" t="str">
        <f>HYPERLINK("https://pbs.twimg.com/profile_images/899577060393459712/2rE6D2YD.jpg","View")</f>
        <v>View</v>
      </c>
    </row>
    <row r="1703" spans="1:21" ht="40.799999999999997">
      <c r="A1703" s="6">
        <v>43439.585046296299</v>
      </c>
      <c r="B1703" s="7" t="str">
        <f>HYPERLINK("https://twitter.com/SegundoSanz","@SegundoSanz")</f>
        <v>@SegundoSanz</v>
      </c>
      <c r="C1703" s="8" t="s">
        <v>5621</v>
      </c>
      <c r="D1703" s="9" t="s">
        <v>5622</v>
      </c>
      <c r="E1703" s="10" t="str">
        <f>HYPERLINK("https://twitter.com/SegundoSanz/status/1070302383379496960","1070302383379496960")</f>
        <v>1070302383379496960</v>
      </c>
      <c r="F1703" s="13" t="s">
        <v>5624</v>
      </c>
      <c r="G1703" s="11"/>
      <c r="H1703" s="11"/>
      <c r="I1703" s="14">
        <v>22</v>
      </c>
      <c r="J1703" s="14">
        <v>29</v>
      </c>
      <c r="K1703" s="15" t="str">
        <f t="shared" si="338"/>
        <v>Twitter for Android</v>
      </c>
      <c r="L1703" s="14">
        <v>1481</v>
      </c>
      <c r="M1703" s="14">
        <v>1548</v>
      </c>
      <c r="N1703" s="14">
        <v>42</v>
      </c>
      <c r="O1703" s="16"/>
      <c r="P1703" s="6">
        <v>40602.908206018517</v>
      </c>
      <c r="Q1703" s="11"/>
      <c r="R1703" s="17" t="s">
        <v>5625</v>
      </c>
      <c r="S1703" s="13" t="s">
        <v>5627</v>
      </c>
      <c r="T1703" s="11"/>
      <c r="U1703" s="10" t="str">
        <f>HYPERLINK("https://pbs.twimg.com/profile_images/1037438049481834496/xzhIXffD.jpg","View")</f>
        <v>View</v>
      </c>
    </row>
    <row r="1704" spans="1:21" ht="81.599999999999994">
      <c r="A1704" s="6">
        <v>43439.584594907406</v>
      </c>
      <c r="B1704" s="7" t="str">
        <f>HYPERLINK("https://twitter.com/manutorre72","@manutorre72")</f>
        <v>@manutorre72</v>
      </c>
      <c r="C1704" s="8" t="s">
        <v>1564</v>
      </c>
      <c r="D1704" s="9" t="s">
        <v>5628</v>
      </c>
      <c r="E1704" s="10" t="str">
        <f>HYPERLINK("https://twitter.com/manutorre72/status/1070302222326607872","1070302222326607872")</f>
        <v>1070302222326607872</v>
      </c>
      <c r="F1704" s="12" t="s">
        <v>5629</v>
      </c>
      <c r="G1704" s="13" t="s">
        <v>5630</v>
      </c>
      <c r="H1704" s="11"/>
      <c r="I1704" s="14">
        <v>0</v>
      </c>
      <c r="J1704" s="14">
        <v>0</v>
      </c>
      <c r="K1704" s="15" t="str">
        <f>HYPERLINK("https://mobile.twitter.com","Twitter Lite")</f>
        <v>Twitter Lite</v>
      </c>
      <c r="L1704" s="14">
        <v>780</v>
      </c>
      <c r="M1704" s="14">
        <v>450</v>
      </c>
      <c r="N1704" s="14">
        <v>16</v>
      </c>
      <c r="O1704" s="16"/>
      <c r="P1704" s="6">
        <v>41307.48400462963</v>
      </c>
      <c r="Q1704" s="12" t="s">
        <v>5631</v>
      </c>
      <c r="R1704" s="18"/>
      <c r="S1704" s="11"/>
      <c r="T1704" s="11"/>
      <c r="U1704" s="10" t="str">
        <f>HYPERLINK("https://pbs.twimg.com/profile_images/972014539427459072/KS1Yche6.jpg","View")</f>
        <v>View</v>
      </c>
    </row>
    <row r="1705" spans="1:21" ht="51">
      <c r="A1705" s="6">
        <v>43439.583611111113</v>
      </c>
      <c r="B1705" s="7" t="str">
        <f>HYPERLINK("https://twitter.com/L0nelyW0lf70","@L0nelyW0lf70")</f>
        <v>@L0nelyW0lf70</v>
      </c>
      <c r="C1705" s="20" t="s">
        <v>2569</v>
      </c>
      <c r="D1705" s="9" t="s">
        <v>5632</v>
      </c>
      <c r="E1705" s="10" t="str">
        <f>HYPERLINK("https://twitter.com/L0nelyW0lf70/status/1070301864028237825","1070301864028237825")</f>
        <v>1070301864028237825</v>
      </c>
      <c r="F1705" s="12" t="s">
        <v>5633</v>
      </c>
      <c r="G1705" s="11"/>
      <c r="H1705" s="11"/>
      <c r="I1705" s="14">
        <v>0</v>
      </c>
      <c r="J1705" s="14">
        <v>0</v>
      </c>
      <c r="K1705" s="15" t="str">
        <f t="shared" ref="K1705:K1706" si="339">HYPERLINK("http://twitter.com","Twitter Web Client")</f>
        <v>Twitter Web Client</v>
      </c>
      <c r="L1705" s="14">
        <v>622</v>
      </c>
      <c r="M1705" s="14">
        <v>849</v>
      </c>
      <c r="N1705" s="14">
        <v>2</v>
      </c>
      <c r="O1705" s="16"/>
      <c r="P1705" s="6">
        <v>43335.887094907404</v>
      </c>
      <c r="Q1705" s="12" t="s">
        <v>2574</v>
      </c>
      <c r="R1705" s="17" t="s">
        <v>2575</v>
      </c>
      <c r="S1705" s="11"/>
      <c r="T1705" s="11"/>
      <c r="U1705" s="10" t="str">
        <f>HYPERLINK("https://pbs.twimg.com/profile_images/1070321731607388160/YlBHEYkq.jpg","View")</f>
        <v>View</v>
      </c>
    </row>
    <row r="1706" spans="1:21" ht="51">
      <c r="A1706" s="6">
        <v>43439.58293981482</v>
      </c>
      <c r="B1706" s="7" t="str">
        <f>HYPERLINK("https://twitter.com/Alberto_deJesus","@Alberto_deJesus")</f>
        <v>@Alberto_deJesus</v>
      </c>
      <c r="C1706" s="8" t="s">
        <v>5634</v>
      </c>
      <c r="D1706" s="9" t="s">
        <v>5635</v>
      </c>
      <c r="E1706" s="10" t="str">
        <f>HYPERLINK("https://twitter.com/Alberto_deJesus/status/1070301623166078976","1070301623166078976")</f>
        <v>1070301623166078976</v>
      </c>
      <c r="F1706" s="13" t="s">
        <v>5636</v>
      </c>
      <c r="G1706" s="11"/>
      <c r="H1706" s="11"/>
      <c r="I1706" s="14">
        <v>1</v>
      </c>
      <c r="J1706" s="14">
        <v>1</v>
      </c>
      <c r="K1706" s="15" t="str">
        <f t="shared" si="339"/>
        <v>Twitter Web Client</v>
      </c>
      <c r="L1706" s="14">
        <v>1088</v>
      </c>
      <c r="M1706" s="14">
        <v>2076</v>
      </c>
      <c r="N1706" s="14">
        <v>13</v>
      </c>
      <c r="O1706" s="16"/>
      <c r="P1706" s="6">
        <v>40577.815011574072</v>
      </c>
      <c r="Q1706" s="11"/>
      <c r="R1706" s="17" t="s">
        <v>5637</v>
      </c>
      <c r="S1706" s="11"/>
      <c r="T1706" s="11"/>
      <c r="U1706" s="10" t="str">
        <f>HYPERLINK("https://pbs.twimg.com/profile_images/951506738431348737/6cR4Ai9G.jpg","View")</f>
        <v>View</v>
      </c>
    </row>
    <row r="1707" spans="1:21" ht="61.2">
      <c r="A1707" s="6">
        <v>43439.582754629635</v>
      </c>
      <c r="B1707" s="7" t="str">
        <f>HYPERLINK("https://twitter.com/_ElNegativo","@_ElNegativo")</f>
        <v>@_ElNegativo</v>
      </c>
      <c r="C1707" s="8" t="s">
        <v>5638</v>
      </c>
      <c r="D1707" s="9" t="s">
        <v>5639</v>
      </c>
      <c r="E1707" s="10" t="str">
        <f>HYPERLINK("https://twitter.com/_ElNegativo/status/1070301552513044480","1070301552513044480")</f>
        <v>1070301552513044480</v>
      </c>
      <c r="F1707" s="11"/>
      <c r="G1707" s="11"/>
      <c r="H1707" s="11"/>
      <c r="I1707" s="14">
        <v>0</v>
      </c>
      <c r="J1707" s="14">
        <v>0</v>
      </c>
      <c r="K1707" s="15" t="str">
        <f>HYPERLINK("http://twitter.com/download/android","Twitter for Android")</f>
        <v>Twitter for Android</v>
      </c>
      <c r="L1707" s="14">
        <v>991</v>
      </c>
      <c r="M1707" s="14">
        <v>2092</v>
      </c>
      <c r="N1707" s="14">
        <v>51</v>
      </c>
      <c r="O1707" s="16"/>
      <c r="P1707" s="6">
        <v>41315.862453703703</v>
      </c>
      <c r="Q1707" s="12" t="s">
        <v>5641</v>
      </c>
      <c r="R1707" s="17" t="s">
        <v>5642</v>
      </c>
      <c r="S1707" s="11"/>
      <c r="T1707" s="11"/>
      <c r="U1707" s="10" t="str">
        <f>HYPERLINK("https://pbs.twimg.com/profile_images/1062683652268666880/WdrjYPij.jpg","View")</f>
        <v>View</v>
      </c>
    </row>
    <row r="1708" spans="1:21" ht="40.799999999999997">
      <c r="A1708" s="6">
        <v>43439.581377314811</v>
      </c>
      <c r="B1708" s="7" t="str">
        <f>HYPERLINK("https://twitter.com/CiudadanosCs","@CiudadanosCs")</f>
        <v>@CiudadanosCs</v>
      </c>
      <c r="C1708" s="8" t="s">
        <v>489</v>
      </c>
      <c r="D1708" s="9" t="s">
        <v>5650</v>
      </c>
      <c r="E1708" s="10" t="str">
        <f>HYPERLINK("https://twitter.com/CiudadanosCs/status/1070301053583876096","1070301053583876096")</f>
        <v>1070301053583876096</v>
      </c>
      <c r="F1708" s="11"/>
      <c r="G1708" s="13" t="s">
        <v>5574</v>
      </c>
      <c r="H1708" s="11"/>
      <c r="I1708" s="14">
        <v>56</v>
      </c>
      <c r="J1708" s="14">
        <v>85</v>
      </c>
      <c r="K1708" s="15" t="str">
        <f>HYPERLINK("https://studio.twitter.com","Twitter Media Studio")</f>
        <v>Twitter Media Studio</v>
      </c>
      <c r="L1708" s="14">
        <v>490821</v>
      </c>
      <c r="M1708" s="14">
        <v>93557</v>
      </c>
      <c r="N1708" s="14">
        <v>3338</v>
      </c>
      <c r="O1708" s="19" t="s">
        <v>42</v>
      </c>
      <c r="P1708" s="6">
        <v>39828.753460648149</v>
      </c>
      <c r="Q1708" s="12" t="s">
        <v>137</v>
      </c>
      <c r="R1708" s="17" t="s">
        <v>492</v>
      </c>
      <c r="S1708" s="13" t="s">
        <v>493</v>
      </c>
      <c r="T1708" s="11"/>
      <c r="U1708" s="10" t="str">
        <f>HYPERLINK("https://pbs.twimg.com/profile_images/1053554096161075200/1z77_zBZ.jpg","View")</f>
        <v>View</v>
      </c>
    </row>
    <row r="1709" spans="1:21" ht="40.799999999999997">
      <c r="A1709" s="6">
        <v>43439.58112268518</v>
      </c>
      <c r="B1709" s="7" t="str">
        <f>HYPERLINK("https://twitter.com/anselcr","@anselcr")</f>
        <v>@anselcr</v>
      </c>
      <c r="C1709" s="8" t="s">
        <v>6842</v>
      </c>
      <c r="D1709" s="9" t="s">
        <v>6843</v>
      </c>
      <c r="E1709" s="10" t="str">
        <f>HYPERLINK("https://twitter.com/anselcr/status/1070300963284705280","1070300963284705280")</f>
        <v>1070300963284705280</v>
      </c>
      <c r="F1709" s="11"/>
      <c r="G1709" s="11"/>
      <c r="H1709" s="11"/>
      <c r="I1709" s="14">
        <v>0</v>
      </c>
      <c r="J1709" s="14">
        <v>0</v>
      </c>
      <c r="K1709" s="15" t="str">
        <f>HYPERLINK("https://mobile.twitter.com","Twitter Lite")</f>
        <v>Twitter Lite</v>
      </c>
      <c r="L1709" s="14">
        <v>568</v>
      </c>
      <c r="M1709" s="14">
        <v>99</v>
      </c>
      <c r="N1709" s="14">
        <v>29</v>
      </c>
      <c r="O1709" s="16"/>
      <c r="P1709" s="6">
        <v>40599.941782407404</v>
      </c>
      <c r="Q1709" s="11"/>
      <c r="R1709" s="17" t="s">
        <v>6847</v>
      </c>
      <c r="S1709" s="11"/>
      <c r="T1709" s="11"/>
      <c r="U1709" s="10" t="str">
        <f>HYPERLINK("https://pbs.twimg.com/profile_images/606922656957530112/KDCpX9nK.jpg","View")</f>
        <v>View</v>
      </c>
    </row>
    <row r="1710" spans="1:21" ht="40.799999999999997">
      <c r="A1710" s="6">
        <v>43439.579918981486</v>
      </c>
      <c r="B1710" s="7" t="str">
        <f>HYPERLINK("https://twitter.com/lextresabogados","@lextresabogados")</f>
        <v>@lextresabogados</v>
      </c>
      <c r="C1710" s="8" t="s">
        <v>26</v>
      </c>
      <c r="D1710" s="9" t="s">
        <v>6491</v>
      </c>
      <c r="E1710" s="10" t="str">
        <f>HYPERLINK("https://twitter.com/lextresabogados/status/1070300527924256768","1070300527924256768")</f>
        <v>1070300527924256768</v>
      </c>
      <c r="F1710" s="13" t="s">
        <v>6849</v>
      </c>
      <c r="G1710" s="11"/>
      <c r="H1710" s="11"/>
      <c r="I1710" s="14">
        <v>0</v>
      </c>
      <c r="J1710" s="14">
        <v>0</v>
      </c>
      <c r="K1710" s="15" t="str">
        <f>HYPERLINK("http://35.180.36.179","botize nueva")</f>
        <v>botize nueva</v>
      </c>
      <c r="L1710" s="14">
        <v>2912</v>
      </c>
      <c r="M1710" s="14">
        <v>3525</v>
      </c>
      <c r="N1710" s="14">
        <v>26</v>
      </c>
      <c r="O1710" s="16"/>
      <c r="P1710" s="6">
        <v>42880.770949074074</v>
      </c>
      <c r="Q1710" s="12" t="s">
        <v>35</v>
      </c>
      <c r="R1710" s="17" t="s">
        <v>36</v>
      </c>
      <c r="S1710" s="13" t="s">
        <v>37</v>
      </c>
      <c r="T1710" s="11"/>
      <c r="U1710" s="10" t="str">
        <f>HYPERLINK("https://pbs.twimg.com/profile_images/1068056978679898113/YnjKwiVy.jpg","View")</f>
        <v>View</v>
      </c>
    </row>
    <row r="1711" spans="1:21" ht="40.799999999999997">
      <c r="A1711" s="6">
        <v>43439.578680555554</v>
      </c>
      <c r="B1711" s="7" t="str">
        <f>HYPERLINK("https://twitter.com/20m","@20m")</f>
        <v>@20m</v>
      </c>
      <c r="C1711" s="21" t="s">
        <v>6308</v>
      </c>
      <c r="D1711" s="9" t="s">
        <v>6491</v>
      </c>
      <c r="E1711" s="10" t="str">
        <f>HYPERLINK("https://twitter.com/20m/status/1070300078798200832","1070300078798200832")</f>
        <v>1070300078798200832</v>
      </c>
      <c r="F1711" s="13" t="s">
        <v>6849</v>
      </c>
      <c r="G1711" s="11"/>
      <c r="H1711" s="11"/>
      <c r="I1711" s="14">
        <v>5</v>
      </c>
      <c r="J1711" s="14">
        <v>1</v>
      </c>
      <c r="K1711" s="15" t="str">
        <f>HYPERLINK("http://dogtrack.es","DogTrack_Oficial")</f>
        <v>DogTrack_Oficial</v>
      </c>
      <c r="L1711" s="14">
        <v>1353522</v>
      </c>
      <c r="M1711" s="14">
        <v>51093</v>
      </c>
      <c r="N1711" s="14">
        <v>14083</v>
      </c>
      <c r="O1711" s="19" t="s">
        <v>42</v>
      </c>
      <c r="P1711" s="6">
        <v>39917.485891203702</v>
      </c>
      <c r="Q1711" s="12" t="s">
        <v>181</v>
      </c>
      <c r="R1711" s="17" t="s">
        <v>6314</v>
      </c>
      <c r="S1711" s="13" t="s">
        <v>6315</v>
      </c>
      <c r="T1711" s="11"/>
      <c r="U1711" s="10" t="str">
        <f>HYPERLINK("https://pbs.twimg.com/profile_images/1013670314285420544/gwCE6EJr.jpg","View")</f>
        <v>View</v>
      </c>
    </row>
    <row r="1712" spans="1:21" ht="40.799999999999997">
      <c r="A1712" s="6">
        <v>43439.576516203699</v>
      </c>
      <c r="B1712" s="7" t="str">
        <f>HYPERLINK("https://twitter.com/jatirado","@jatirado")</f>
        <v>@jatirado</v>
      </c>
      <c r="C1712" s="8" t="s">
        <v>3517</v>
      </c>
      <c r="D1712" s="9" t="s">
        <v>6491</v>
      </c>
      <c r="E1712" s="10" t="str">
        <f>HYPERLINK("https://twitter.com/jatirado/status/1070299291825012736","1070299291825012736")</f>
        <v>1070299291825012736</v>
      </c>
      <c r="F1712" s="13" t="s">
        <v>6855</v>
      </c>
      <c r="G1712" s="13" t="s">
        <v>6856</v>
      </c>
      <c r="H1712" s="11"/>
      <c r="I1712" s="14">
        <v>3</v>
      </c>
      <c r="J1712" s="14">
        <v>1</v>
      </c>
      <c r="K1712" s="15" t="str">
        <f t="shared" ref="K1712:K1713" si="340">HYPERLINK("https://dlvrit.com/","dlvr.it")</f>
        <v>dlvr.it</v>
      </c>
      <c r="L1712" s="14">
        <v>81545</v>
      </c>
      <c r="M1712" s="14">
        <v>49760</v>
      </c>
      <c r="N1712" s="14">
        <v>1030</v>
      </c>
      <c r="O1712" s="16"/>
      <c r="P1712" s="6">
        <v>40353.552581018521</v>
      </c>
      <c r="Q1712" s="12" t="s">
        <v>29</v>
      </c>
      <c r="R1712" s="17" t="s">
        <v>3522</v>
      </c>
      <c r="S1712" s="13" t="s">
        <v>3523</v>
      </c>
      <c r="T1712" s="11"/>
      <c r="U1712" s="10" t="str">
        <f>HYPERLINK("https://pbs.twimg.com/profile_images/485680559742791680/dg68o8vH.jpeg","View")</f>
        <v>View</v>
      </c>
    </row>
    <row r="1713" spans="1:21" ht="20.399999999999999">
      <c r="A1713" s="6">
        <v>43439.576504629629</v>
      </c>
      <c r="B1713" s="7" t="str">
        <f>HYPERLINK("https://twitter.com/CristoFeliz1","@CristoFeliz1")</f>
        <v>@CristoFeliz1</v>
      </c>
      <c r="C1713" s="8" t="s">
        <v>5539</v>
      </c>
      <c r="D1713" s="9" t="s">
        <v>6491</v>
      </c>
      <c r="E1713" s="10" t="str">
        <f>HYPERLINK("https://twitter.com/CristoFeliz1/status/1070299288486391809","1070299288486391809")</f>
        <v>1070299288486391809</v>
      </c>
      <c r="F1713" s="13" t="s">
        <v>6861</v>
      </c>
      <c r="G1713" s="13" t="s">
        <v>6862</v>
      </c>
      <c r="H1713" s="11"/>
      <c r="I1713" s="14">
        <v>0</v>
      </c>
      <c r="J1713" s="14">
        <v>0</v>
      </c>
      <c r="K1713" s="15" t="str">
        <f t="shared" si="340"/>
        <v>dlvr.it</v>
      </c>
      <c r="L1713" s="14">
        <v>7015</v>
      </c>
      <c r="M1713" s="14">
        <v>7733</v>
      </c>
      <c r="N1713" s="14">
        <v>561</v>
      </c>
      <c r="O1713" s="16"/>
      <c r="P1713" s="6">
        <v>41186.866469907407</v>
      </c>
      <c r="Q1713" s="12" t="s">
        <v>586</v>
      </c>
      <c r="R1713" s="17" t="s">
        <v>5542</v>
      </c>
      <c r="S1713" s="11"/>
      <c r="T1713" s="11"/>
      <c r="U1713" s="10" t="str">
        <f>HYPERLINK("https://pbs.twimg.com/profile_images/1002564938911703040/1Wvxy6Jm.jpg","View")</f>
        <v>View</v>
      </c>
    </row>
    <row r="1714" spans="1:21" ht="20.399999999999999">
      <c r="A1714" s="6">
        <v>43439.576203703706</v>
      </c>
      <c r="B1714" s="7" t="str">
        <f>HYPERLINK("https://twitter.com/Javi_marques","@Javi_marques")</f>
        <v>@Javi_marques</v>
      </c>
      <c r="C1714" s="8" t="s">
        <v>5655</v>
      </c>
      <c r="D1714" s="9" t="s">
        <v>5656</v>
      </c>
      <c r="E1714" s="10" t="str">
        <f>HYPERLINK("https://twitter.com/Javi_marques/status/1070299181875687424","1070299181875687424")</f>
        <v>1070299181875687424</v>
      </c>
      <c r="F1714" s="11"/>
      <c r="G1714" s="13" t="s">
        <v>5657</v>
      </c>
      <c r="H1714" s="11"/>
      <c r="I1714" s="14">
        <v>0</v>
      </c>
      <c r="J1714" s="14">
        <v>0</v>
      </c>
      <c r="K1714" s="15" t="str">
        <f t="shared" ref="K1714:K1715" si="341">HYPERLINK("http://twitter.com/download/iphone","Twitter for iPhone")</f>
        <v>Twitter for iPhone</v>
      </c>
      <c r="L1714" s="14">
        <v>10</v>
      </c>
      <c r="M1714" s="14">
        <v>72</v>
      </c>
      <c r="N1714" s="14">
        <v>1</v>
      </c>
      <c r="O1714" s="16"/>
      <c r="P1714" s="6">
        <v>40616.006921296299</v>
      </c>
      <c r="Q1714" s="11"/>
      <c r="R1714" s="18"/>
      <c r="S1714" s="11"/>
      <c r="T1714" s="11"/>
      <c r="U1714" s="10" t="str">
        <f>HYPERLINK("https://pbs.twimg.com/profile_images/978051348875956224/ilI2cBEG.jpg","View")</f>
        <v>View</v>
      </c>
    </row>
    <row r="1715" spans="1:21" ht="51">
      <c r="A1715" s="6">
        <v>43439.576111111106</v>
      </c>
      <c r="B1715" s="7" t="str">
        <f>HYPERLINK("https://twitter.com/lNDAL0","@lNDAL0")</f>
        <v>@lNDAL0</v>
      </c>
      <c r="C1715" s="8" t="s">
        <v>5658</v>
      </c>
      <c r="D1715" s="9" t="s">
        <v>5659</v>
      </c>
      <c r="E1715" s="10" t="str">
        <f>HYPERLINK("https://twitter.com/lNDAL0/status/1070299147272679424","1070299147272679424")</f>
        <v>1070299147272679424</v>
      </c>
      <c r="F1715" s="11"/>
      <c r="G1715" s="11"/>
      <c r="H1715" s="11"/>
      <c r="I1715" s="14">
        <v>17</v>
      </c>
      <c r="J1715" s="14">
        <v>23</v>
      </c>
      <c r="K1715" s="15" t="str">
        <f t="shared" si="341"/>
        <v>Twitter for iPhone</v>
      </c>
      <c r="L1715" s="14">
        <v>149</v>
      </c>
      <c r="M1715" s="14">
        <v>319</v>
      </c>
      <c r="N1715" s="14">
        <v>0</v>
      </c>
      <c r="O1715" s="16"/>
      <c r="P1715" s="6">
        <v>40790.597337962965</v>
      </c>
      <c r="Q1715" s="12" t="s">
        <v>1808</v>
      </c>
      <c r="R1715" s="17" t="s">
        <v>5660</v>
      </c>
      <c r="S1715" s="11"/>
      <c r="T1715" s="11"/>
      <c r="U1715" s="10" t="str">
        <f>HYPERLINK("https://pbs.twimg.com/profile_images/899573068288413699/d7ts07w_.jpg","View")</f>
        <v>View</v>
      </c>
    </row>
    <row r="1716" spans="1:21" ht="51">
      <c r="A1716" s="6">
        <v>43439.574490740742</v>
      </c>
      <c r="B1716" s="7" t="str">
        <f>HYPERLINK("https://twitter.com/GalvanFrancisco","@GalvanFrancisco")</f>
        <v>@GalvanFrancisco</v>
      </c>
      <c r="C1716" s="8" t="s">
        <v>5663</v>
      </c>
      <c r="D1716" s="9" t="s">
        <v>5664</v>
      </c>
      <c r="E1716" s="10" t="str">
        <f>HYPERLINK("https://twitter.com/GalvanFrancisco/status/1070298558920880131","1070298558920880131")</f>
        <v>1070298558920880131</v>
      </c>
      <c r="F1716" s="11"/>
      <c r="G1716" s="11"/>
      <c r="H1716" s="11"/>
      <c r="I1716" s="14">
        <v>0</v>
      </c>
      <c r="J1716" s="14">
        <v>1</v>
      </c>
      <c r="K1716" s="15" t="str">
        <f>HYPERLINK("http://twitter.com","Twitter Web Client")</f>
        <v>Twitter Web Client</v>
      </c>
      <c r="L1716" s="14">
        <v>603</v>
      </c>
      <c r="M1716" s="14">
        <v>639</v>
      </c>
      <c r="N1716" s="14">
        <v>16</v>
      </c>
      <c r="O1716" s="16"/>
      <c r="P1716" s="6">
        <v>40644.77275462963</v>
      </c>
      <c r="Q1716" s="12" t="s">
        <v>29</v>
      </c>
      <c r="R1716" s="17" t="s">
        <v>5665</v>
      </c>
      <c r="S1716" s="11"/>
      <c r="T1716" s="11"/>
      <c r="U1716" s="10" t="str">
        <f>HYPERLINK("https://pbs.twimg.com/profile_images/378800000859607396/FN39t_S_.jpeg","View")</f>
        <v>View</v>
      </c>
    </row>
    <row r="1717" spans="1:21" ht="81.599999999999994">
      <c r="A1717" s="6">
        <v>43439.573368055557</v>
      </c>
      <c r="B1717" s="7" t="str">
        <f>HYPERLINK("https://twitter.com/Barsine15","@Barsine15")</f>
        <v>@Barsine15</v>
      </c>
      <c r="C1717" s="8" t="s">
        <v>5666</v>
      </c>
      <c r="D1717" s="9" t="s">
        <v>5667</v>
      </c>
      <c r="E1717" s="10" t="str">
        <f>HYPERLINK("https://twitter.com/Barsine15/status/1070298152484433920","1070298152484433920")</f>
        <v>1070298152484433920</v>
      </c>
      <c r="F1717" s="13" t="s">
        <v>5668</v>
      </c>
      <c r="G1717" s="11"/>
      <c r="H1717" s="11"/>
      <c r="I1717" s="14">
        <v>0</v>
      </c>
      <c r="J1717" s="14">
        <v>0</v>
      </c>
      <c r="K1717" s="15" t="str">
        <f>HYPERLINK("http://twitter.com/download/iphone","Twitter for iPhone")</f>
        <v>Twitter for iPhone</v>
      </c>
      <c r="L1717" s="14">
        <v>170</v>
      </c>
      <c r="M1717" s="14">
        <v>58</v>
      </c>
      <c r="N1717" s="14">
        <v>1</v>
      </c>
      <c r="O1717" s="16"/>
      <c r="P1717" s="6">
        <v>42578.651944444442</v>
      </c>
      <c r="Q1717" s="11"/>
      <c r="R1717" s="18"/>
      <c r="S1717" s="11"/>
      <c r="T1717" s="11"/>
      <c r="U1717" s="10" t="str">
        <f>HYPERLINK("https://pbs.twimg.com/profile_images/954384363113807872/MIZNvs1H.jpg","View")</f>
        <v>View</v>
      </c>
    </row>
    <row r="1718" spans="1:21" ht="30.6">
      <c r="A1718" s="6">
        <v>43439.572951388887</v>
      </c>
      <c r="B1718" s="7" t="str">
        <f>HYPERLINK("https://twitter.com/Jlramirez3633","@Jlramirez3633")</f>
        <v>@Jlramirez3633</v>
      </c>
      <c r="C1718" s="8" t="s">
        <v>5673</v>
      </c>
      <c r="D1718" s="9" t="s">
        <v>5674</v>
      </c>
      <c r="E1718" s="10" t="str">
        <f>HYPERLINK("https://twitter.com/Jlramirez3633/status/1070298002231910401","1070298002231910401")</f>
        <v>1070298002231910401</v>
      </c>
      <c r="F1718" s="11"/>
      <c r="G1718" s="11"/>
      <c r="H1718" s="11"/>
      <c r="I1718" s="14">
        <v>13</v>
      </c>
      <c r="J1718" s="14">
        <v>8</v>
      </c>
      <c r="K1718" s="15" t="str">
        <f>HYPERLINK("http://twitter.com","Twitter Web Client")</f>
        <v>Twitter Web Client</v>
      </c>
      <c r="L1718" s="14">
        <v>3134</v>
      </c>
      <c r="M1718" s="14">
        <v>2355</v>
      </c>
      <c r="N1718" s="14">
        <v>54</v>
      </c>
      <c r="O1718" s="16"/>
      <c r="P1718" s="6">
        <v>41687.58011574074</v>
      </c>
      <c r="Q1718" s="12" t="s">
        <v>2376</v>
      </c>
      <c r="R1718" s="17" t="s">
        <v>5675</v>
      </c>
      <c r="S1718" s="13" t="s">
        <v>5676</v>
      </c>
      <c r="T1718" s="11"/>
      <c r="U1718" s="10" t="str">
        <f>HYPERLINK("https://pbs.twimg.com/profile_images/904800534128984064/oBU-cCSP.jpg","View")</f>
        <v>View</v>
      </c>
    </row>
    <row r="1719" spans="1:21" ht="40.799999999999997">
      <c r="A1719" s="6">
        <v>43439.572453703702</v>
      </c>
      <c r="B1719" s="7" t="str">
        <f>HYPERLINK("https://twitter.com/KilometroCero","@KilometroCero")</f>
        <v>@KilometroCero</v>
      </c>
      <c r="C1719" s="8" t="s">
        <v>6869</v>
      </c>
      <c r="D1719" s="9" t="s">
        <v>6870</v>
      </c>
      <c r="E1719" s="10" t="str">
        <f>HYPERLINK("https://twitter.com/KilometroCero/status/1070297821197287425","1070297821197287425")</f>
        <v>1070297821197287425</v>
      </c>
      <c r="F1719" s="11"/>
      <c r="G1719" s="11"/>
      <c r="H1719" s="11"/>
      <c r="I1719" s="14">
        <v>0</v>
      </c>
      <c r="J1719" s="14">
        <v>0</v>
      </c>
      <c r="K1719" s="15" t="str">
        <f>HYPERLINK("https://about.twitter.com/products/tweetdeck","TweetDeck")</f>
        <v>TweetDeck</v>
      </c>
      <c r="L1719" s="14">
        <v>1081</v>
      </c>
      <c r="M1719" s="14">
        <v>1267</v>
      </c>
      <c r="N1719" s="14">
        <v>43</v>
      </c>
      <c r="O1719" s="16"/>
      <c r="P1719" s="6">
        <v>39740.00503472222</v>
      </c>
      <c r="Q1719" s="12" t="s">
        <v>29</v>
      </c>
      <c r="R1719" s="17" t="s">
        <v>6871</v>
      </c>
      <c r="S1719" s="11"/>
      <c r="T1719" s="11"/>
      <c r="U1719" s="10" t="str">
        <f>HYPERLINK("https://pbs.twimg.com/profile_images/1064886384408911872/1XmhClJr.jpg","View")</f>
        <v>View</v>
      </c>
    </row>
    <row r="1720" spans="1:21" ht="40.799999999999997">
      <c r="A1720" s="6">
        <v>43439.572268518517</v>
      </c>
      <c r="B1720" s="7" t="str">
        <f>HYPERLINK("https://twitter.com/120minutosTM","@120minutosTM")</f>
        <v>@120minutosTM</v>
      </c>
      <c r="C1720" s="8" t="s">
        <v>5679</v>
      </c>
      <c r="D1720" s="9" t="s">
        <v>5680</v>
      </c>
      <c r="E1720" s="10" t="str">
        <f>HYPERLINK("https://twitter.com/120minutosTM/status/1070297753920700419","1070297753920700419")</f>
        <v>1070297753920700419</v>
      </c>
      <c r="F1720" s="13" t="s">
        <v>5683</v>
      </c>
      <c r="G1720" s="13" t="s">
        <v>5684</v>
      </c>
      <c r="H1720" s="11"/>
      <c r="I1720" s="14">
        <v>0</v>
      </c>
      <c r="J1720" s="14">
        <v>1</v>
      </c>
      <c r="K1720" s="15" t="str">
        <f>HYPERLINK("http://dogtrack.es","DogTrack_Oficial")</f>
        <v>DogTrack_Oficial</v>
      </c>
      <c r="L1720" s="14">
        <v>1686</v>
      </c>
      <c r="M1720" s="14">
        <v>212</v>
      </c>
      <c r="N1720" s="14">
        <v>18</v>
      </c>
      <c r="O1720" s="16"/>
      <c r="P1720" s="6">
        <v>43129.453402777777</v>
      </c>
      <c r="Q1720" s="12" t="s">
        <v>60</v>
      </c>
      <c r="R1720" s="17" t="s">
        <v>5685</v>
      </c>
      <c r="S1720" s="13" t="s">
        <v>5686</v>
      </c>
      <c r="T1720" s="11"/>
      <c r="U1720" s="10" t="str">
        <f>HYPERLINK("https://pbs.twimg.com/profile_images/1008997691165200384/SMjhDWGJ.jpg","View")</f>
        <v>View</v>
      </c>
    </row>
    <row r="1721" spans="1:21" ht="40.799999999999997">
      <c r="A1721" s="6">
        <v>43439.570243055554</v>
      </c>
      <c r="B1721" s="7" t="str">
        <f>HYPERLINK("https://twitter.com/tono58","@tono58")</f>
        <v>@tono58</v>
      </c>
      <c r="C1721" s="8" t="s">
        <v>6875</v>
      </c>
      <c r="D1721" s="9" t="s">
        <v>6876</v>
      </c>
      <c r="E1721" s="10" t="str">
        <f>HYPERLINK("https://twitter.com/tono58/status/1070297020374638592","1070297020374638592")</f>
        <v>1070297020374638592</v>
      </c>
      <c r="F1721" s="11"/>
      <c r="G1721" s="11"/>
      <c r="H1721" s="11"/>
      <c r="I1721" s="14">
        <v>0</v>
      </c>
      <c r="J1721" s="14">
        <v>0</v>
      </c>
      <c r="K1721" s="15" t="str">
        <f>HYPERLINK("http://twitter.com/download/android","Twitter for Android")</f>
        <v>Twitter for Android</v>
      </c>
      <c r="L1721" s="14">
        <v>2705</v>
      </c>
      <c r="M1721" s="14">
        <v>3222</v>
      </c>
      <c r="N1721" s="14">
        <v>62</v>
      </c>
      <c r="O1721" s="16"/>
      <c r="P1721" s="6">
        <v>41185.60670138889</v>
      </c>
      <c r="Q1721" s="11"/>
      <c r="R1721" s="17" t="s">
        <v>6879</v>
      </c>
      <c r="S1721" s="11"/>
      <c r="T1721" s="11"/>
      <c r="U1721" s="10" t="str">
        <f>HYPERLINK("https://pbs.twimg.com/profile_images/868748580915482624/6EtrgaRd.jpg","View")</f>
        <v>View</v>
      </c>
    </row>
    <row r="1722" spans="1:21" ht="40.799999999999997">
      <c r="A1722" s="6">
        <v>43439.570023148146</v>
      </c>
      <c r="B1722" s="7" t="str">
        <f>HYPERLINK("https://twitter.com/BuzoneoVox","@BuzoneoVox")</f>
        <v>@BuzoneoVox</v>
      </c>
      <c r="C1722" s="8" t="s">
        <v>151</v>
      </c>
      <c r="D1722" s="9" t="s">
        <v>6880</v>
      </c>
      <c r="E1722" s="10" t="str">
        <f>HYPERLINK("https://twitter.com/BuzoneoVox/status/1070296939542077440","1070296939542077440")</f>
        <v>1070296939542077440</v>
      </c>
      <c r="F1722" s="11"/>
      <c r="G1722" s="11"/>
      <c r="H1722" s="11"/>
      <c r="I1722" s="14">
        <v>0</v>
      </c>
      <c r="J1722" s="14">
        <v>0</v>
      </c>
      <c r="K1722" s="15" t="str">
        <f>HYPERLINK("http://twitter.com/download/iphone","Twitter for iPhone")</f>
        <v>Twitter for iPhone</v>
      </c>
      <c r="L1722" s="14">
        <v>385</v>
      </c>
      <c r="M1722" s="14">
        <v>644</v>
      </c>
      <c r="N1722" s="14">
        <v>1</v>
      </c>
      <c r="O1722" s="16"/>
      <c r="P1722" s="6">
        <v>43260.618113425924</v>
      </c>
      <c r="Q1722" s="12" t="s">
        <v>137</v>
      </c>
      <c r="R1722" s="17" t="s">
        <v>158</v>
      </c>
      <c r="S1722" s="11"/>
      <c r="T1722" s="11"/>
      <c r="U1722" s="10" t="str">
        <f>HYPERLINK("https://pbs.twimg.com/profile_images/1005460745071493122/2qz5mJBK.jpg","View")</f>
        <v>View</v>
      </c>
    </row>
    <row r="1723" spans="1:21" ht="30.6">
      <c r="A1723" s="6">
        <v>43439.569756944446</v>
      </c>
      <c r="B1723" s="7" t="str">
        <f>HYPERLINK("https://twitter.com/CiudadanosCs","@CiudadanosCs")</f>
        <v>@CiudadanosCs</v>
      </c>
      <c r="C1723" s="8" t="s">
        <v>489</v>
      </c>
      <c r="D1723" s="9" t="s">
        <v>5687</v>
      </c>
      <c r="E1723" s="10" t="str">
        <f>HYPERLINK("https://twitter.com/CiudadanosCs/status/1070296845677670401","1070296845677670401")</f>
        <v>1070296845677670401</v>
      </c>
      <c r="F1723" s="11"/>
      <c r="G1723" s="13" t="s">
        <v>5688</v>
      </c>
      <c r="H1723" s="11"/>
      <c r="I1723" s="14">
        <v>24</v>
      </c>
      <c r="J1723" s="14">
        <v>29</v>
      </c>
      <c r="K1723" s="15" t="str">
        <f>HYPERLINK("http://twitter.com","Twitter Web Client")</f>
        <v>Twitter Web Client</v>
      </c>
      <c r="L1723" s="14">
        <v>490821</v>
      </c>
      <c r="M1723" s="14">
        <v>93557</v>
      </c>
      <c r="N1723" s="14">
        <v>3338</v>
      </c>
      <c r="O1723" s="19" t="s">
        <v>42</v>
      </c>
      <c r="P1723" s="6">
        <v>39828.753460648149</v>
      </c>
      <c r="Q1723" s="12" t="s">
        <v>137</v>
      </c>
      <c r="R1723" s="17" t="s">
        <v>492</v>
      </c>
      <c r="S1723" s="13" t="s">
        <v>493</v>
      </c>
      <c r="T1723" s="11"/>
      <c r="U1723" s="10" t="str">
        <f>HYPERLINK("https://pbs.twimg.com/profile_images/1053554096161075200/1z77_zBZ.jpg","View")</f>
        <v>View</v>
      </c>
    </row>
    <row r="1724" spans="1:21" ht="40.799999999999997">
      <c r="A1724" s="6">
        <v>43439.569606481484</v>
      </c>
      <c r="B1724" s="7" t="str">
        <f>HYPERLINK("https://twitter.com/cspescados","@cspescados")</f>
        <v>@cspescados</v>
      </c>
      <c r="C1724" s="8" t="s">
        <v>600</v>
      </c>
      <c r="D1724" s="9" t="s">
        <v>6887</v>
      </c>
      <c r="E1724" s="10" t="str">
        <f>HYPERLINK("https://twitter.com/cspescados/status/1070296791445204992","1070296791445204992")</f>
        <v>1070296791445204992</v>
      </c>
      <c r="F1724" s="11"/>
      <c r="G1724" s="11"/>
      <c r="H1724" s="11"/>
      <c r="I1724" s="14">
        <v>21</v>
      </c>
      <c r="J1724" s="14">
        <v>39</v>
      </c>
      <c r="K1724" s="15" t="str">
        <f>HYPERLINK("https://about.twitter.com/products/tweetdeck","TweetDeck")</f>
        <v>TweetDeck</v>
      </c>
      <c r="L1724" s="14">
        <v>14978</v>
      </c>
      <c r="M1724" s="14">
        <v>818</v>
      </c>
      <c r="N1724" s="14">
        <v>128</v>
      </c>
      <c r="O1724" s="16"/>
      <c r="P1724" s="6">
        <v>42097.732581018514</v>
      </c>
      <c r="Q1724" s="12" t="s">
        <v>606</v>
      </c>
      <c r="R1724" s="17" t="s">
        <v>607</v>
      </c>
      <c r="S1724" s="13" t="s">
        <v>608</v>
      </c>
      <c r="T1724" s="11"/>
      <c r="U1724" s="10" t="str">
        <f>HYPERLINK("https://pbs.twimg.com/profile_images/600268890959126528/aC9kvTK_.jpg","View")</f>
        <v>View</v>
      </c>
    </row>
    <row r="1725" spans="1:21" ht="30.6">
      <c r="A1725" s="6">
        <v>43439.569490740745</v>
      </c>
      <c r="B1725" s="7" t="str">
        <f>HYPERLINK("https://twitter.com/EFEnoticias_ES","@EFEnoticias_ES")</f>
        <v>@EFEnoticias_ES</v>
      </c>
      <c r="C1725" s="8" t="s">
        <v>6889</v>
      </c>
      <c r="D1725" s="9" t="s">
        <v>6890</v>
      </c>
      <c r="E1725" s="10" t="str">
        <f>HYPERLINK("https://twitter.com/EFEnoticias_ES/status/1070296747782615041","1070296747782615041")</f>
        <v>1070296747782615041</v>
      </c>
      <c r="F1725" s="11"/>
      <c r="G1725" s="11"/>
      <c r="H1725" s="11"/>
      <c r="I1725" s="14">
        <v>0</v>
      </c>
      <c r="J1725" s="14">
        <v>0</v>
      </c>
      <c r="K1725" s="15" t="str">
        <f t="shared" ref="K1725:K1730" si="342">HYPERLINK("http://twitter.com","Twitter Web Client")</f>
        <v>Twitter Web Client</v>
      </c>
      <c r="L1725" s="14">
        <v>7160</v>
      </c>
      <c r="M1725" s="14">
        <v>37</v>
      </c>
      <c r="N1725" s="14">
        <v>96</v>
      </c>
      <c r="O1725" s="16"/>
      <c r="P1725" s="6">
        <v>41710.567465277782</v>
      </c>
      <c r="Q1725" s="12" t="s">
        <v>137</v>
      </c>
      <c r="R1725" s="17" t="s">
        <v>6892</v>
      </c>
      <c r="S1725" s="13" t="s">
        <v>6894</v>
      </c>
      <c r="T1725" s="11"/>
      <c r="U1725" s="10" t="str">
        <f>HYPERLINK("https://pbs.twimg.com/profile_images/930868948211552256/D5EpVtBi.jpg","View")</f>
        <v>View</v>
      </c>
    </row>
    <row r="1726" spans="1:21" ht="30.6">
      <c r="A1726" s="6">
        <v>43439.567870370374</v>
      </c>
      <c r="B1726" s="7" t="str">
        <f>HYPERLINK("https://twitter.com/diazj353","@diazj353")</f>
        <v>@diazj353</v>
      </c>
      <c r="C1726" s="8" t="s">
        <v>5694</v>
      </c>
      <c r="D1726" s="9" t="s">
        <v>5695</v>
      </c>
      <c r="E1726" s="10" t="str">
        <f>HYPERLINK("https://twitter.com/diazj353/status/1070296159946715136","1070296159946715136")</f>
        <v>1070296159946715136</v>
      </c>
      <c r="F1726" s="11"/>
      <c r="G1726" s="11"/>
      <c r="H1726" s="11"/>
      <c r="I1726" s="14">
        <v>0</v>
      </c>
      <c r="J1726" s="14">
        <v>0</v>
      </c>
      <c r="K1726" s="15" t="str">
        <f t="shared" si="342"/>
        <v>Twitter Web Client</v>
      </c>
      <c r="L1726" s="14">
        <v>651</v>
      </c>
      <c r="M1726" s="14">
        <v>1330</v>
      </c>
      <c r="N1726" s="14">
        <v>5</v>
      </c>
      <c r="O1726" s="16"/>
      <c r="P1726" s="6">
        <v>41173.655694444446</v>
      </c>
      <c r="Q1726" s="12" t="s">
        <v>5696</v>
      </c>
      <c r="R1726" s="17" t="s">
        <v>5697</v>
      </c>
      <c r="S1726" s="13" t="s">
        <v>5698</v>
      </c>
      <c r="T1726" s="11"/>
      <c r="U1726" s="10" t="str">
        <f>HYPERLINK("https://pbs.twimg.com/profile_images/681445263014293504/lN1lcXVn.jpg","View")</f>
        <v>View</v>
      </c>
    </row>
    <row r="1727" spans="1:21" ht="30.6">
      <c r="A1727" s="6">
        <v>43439.567777777775</v>
      </c>
      <c r="B1727" s="7" t="str">
        <f>HYPERLINK("https://twitter.com/EmilioOrdiz","@EmilioOrdiz")</f>
        <v>@EmilioOrdiz</v>
      </c>
      <c r="C1727" s="8" t="s">
        <v>6896</v>
      </c>
      <c r="D1727" s="9" t="s">
        <v>6491</v>
      </c>
      <c r="E1727" s="10" t="str">
        <f>HYPERLINK("https://twitter.com/EmilioOrdiz/status/1070296127684128771","1070296127684128771")</f>
        <v>1070296127684128771</v>
      </c>
      <c r="F1727" s="13" t="s">
        <v>6166</v>
      </c>
      <c r="G1727" s="11"/>
      <c r="H1727" s="11"/>
      <c r="I1727" s="14">
        <v>1</v>
      </c>
      <c r="J1727" s="14">
        <v>1</v>
      </c>
      <c r="K1727" s="15" t="str">
        <f t="shared" si="342"/>
        <v>Twitter Web Client</v>
      </c>
      <c r="L1727" s="14">
        <v>1052</v>
      </c>
      <c r="M1727" s="14">
        <v>617</v>
      </c>
      <c r="N1727" s="14">
        <v>18</v>
      </c>
      <c r="O1727" s="16"/>
      <c r="P1727" s="6">
        <v>40300.574282407411</v>
      </c>
      <c r="Q1727" s="12" t="s">
        <v>6897</v>
      </c>
      <c r="R1727" s="17" t="s">
        <v>6898</v>
      </c>
      <c r="S1727" s="13" t="s">
        <v>6899</v>
      </c>
      <c r="T1727" s="11"/>
      <c r="U1727" s="10" t="str">
        <f>HYPERLINK("https://pbs.twimg.com/profile_images/1049291220093165568/fvvmPJMP.jpg","View")</f>
        <v>View</v>
      </c>
    </row>
    <row r="1728" spans="1:21" ht="30.6">
      <c r="A1728" s="6">
        <v>43439.567719907413</v>
      </c>
      <c r="B1728" s="7" t="str">
        <f>HYPERLINK("https://twitter.com/RafaHumildad","@RafaHumildad")</f>
        <v>@RafaHumildad</v>
      </c>
      <c r="C1728" s="8" t="s">
        <v>5699</v>
      </c>
      <c r="D1728" s="9" t="s">
        <v>5700</v>
      </c>
      <c r="E1728" s="10" t="str">
        <f>HYPERLINK("https://twitter.com/RafaHumildad/status/1070296104313544704","1070296104313544704")</f>
        <v>1070296104313544704</v>
      </c>
      <c r="F1728" s="11"/>
      <c r="G1728" s="11"/>
      <c r="H1728" s="11"/>
      <c r="I1728" s="14">
        <v>0</v>
      </c>
      <c r="J1728" s="14">
        <v>0</v>
      </c>
      <c r="K1728" s="15" t="str">
        <f t="shared" si="342"/>
        <v>Twitter Web Client</v>
      </c>
      <c r="L1728" s="14">
        <v>995</v>
      </c>
      <c r="M1728" s="14">
        <v>1154</v>
      </c>
      <c r="N1728" s="14">
        <v>15</v>
      </c>
      <c r="O1728" s="16"/>
      <c r="P1728" s="6">
        <v>40140.140729166669</v>
      </c>
      <c r="Q1728" s="11"/>
      <c r="R1728" s="17" t="s">
        <v>5701</v>
      </c>
      <c r="S1728" s="11"/>
      <c r="T1728" s="11"/>
      <c r="U1728" s="10" t="str">
        <f>HYPERLINK("https://pbs.twimg.com/profile_images/949426795161489411/C_pVNSMb.jpg","View")</f>
        <v>View</v>
      </c>
    </row>
    <row r="1729" spans="1:21" ht="40.799999999999997">
      <c r="A1729" s="6">
        <v>43439.565914351857</v>
      </c>
      <c r="B1729" s="7" t="str">
        <f>HYPERLINK("https://twitter.com/Rochseaside","@Rochseaside")</f>
        <v>@Rochseaside</v>
      </c>
      <c r="C1729" s="8" t="s">
        <v>6903</v>
      </c>
      <c r="D1729" s="9" t="s">
        <v>6904</v>
      </c>
      <c r="E1729" s="10" t="str">
        <f>HYPERLINK("https://twitter.com/Rochseaside/status/1070295452430622720","1070295452430622720")</f>
        <v>1070295452430622720</v>
      </c>
      <c r="F1729" s="13" t="s">
        <v>6905</v>
      </c>
      <c r="G1729" s="11"/>
      <c r="H1729" s="11"/>
      <c r="I1729" s="14">
        <v>5</v>
      </c>
      <c r="J1729" s="14">
        <v>8</v>
      </c>
      <c r="K1729" s="15" t="str">
        <f t="shared" si="342"/>
        <v>Twitter Web Client</v>
      </c>
      <c r="L1729" s="14">
        <v>702</v>
      </c>
      <c r="M1729" s="14">
        <v>514</v>
      </c>
      <c r="N1729" s="14">
        <v>3</v>
      </c>
      <c r="O1729" s="16"/>
      <c r="P1729" s="6">
        <v>43009.097870370373</v>
      </c>
      <c r="Q1729" s="12" t="s">
        <v>6908</v>
      </c>
      <c r="R1729" s="17" t="s">
        <v>6909</v>
      </c>
      <c r="S1729" s="13" t="s">
        <v>6905</v>
      </c>
      <c r="T1729" s="11"/>
      <c r="U1729" s="10" t="str">
        <f>HYPERLINK("https://pbs.twimg.com/profile_images/1066543544553361411/ABvORKNK.jpg","View")</f>
        <v>View</v>
      </c>
    </row>
    <row r="1730" spans="1:21" ht="51">
      <c r="A1730" s="6">
        <v>43439.56521990741</v>
      </c>
      <c r="B1730" s="7" t="str">
        <f>HYPERLINK("https://twitter.com/europapress","@europapress")</f>
        <v>@europapress</v>
      </c>
      <c r="C1730" s="8" t="s">
        <v>3135</v>
      </c>
      <c r="D1730" s="9" t="s">
        <v>6910</v>
      </c>
      <c r="E1730" s="10" t="str">
        <f>HYPERLINK("https://twitter.com/europapress/status/1070295202135506944","1070295202135506944")</f>
        <v>1070295202135506944</v>
      </c>
      <c r="F1730" s="13" t="s">
        <v>6912</v>
      </c>
      <c r="G1730" s="13" t="s">
        <v>6914</v>
      </c>
      <c r="H1730" s="11"/>
      <c r="I1730" s="14">
        <v>14</v>
      </c>
      <c r="J1730" s="14">
        <v>9</v>
      </c>
      <c r="K1730" s="15" t="str">
        <f t="shared" si="342"/>
        <v>Twitter Web Client</v>
      </c>
      <c r="L1730" s="14">
        <v>1100735</v>
      </c>
      <c r="M1730" s="14">
        <v>1101</v>
      </c>
      <c r="N1730" s="14">
        <v>13750</v>
      </c>
      <c r="O1730" s="19" t="s">
        <v>42</v>
      </c>
      <c r="P1730" s="6">
        <v>40246.461956018517</v>
      </c>
      <c r="Q1730" s="11"/>
      <c r="R1730" s="17" t="s">
        <v>3141</v>
      </c>
      <c r="S1730" s="13" t="s">
        <v>3142</v>
      </c>
      <c r="T1730" s="11"/>
      <c r="U1730" s="10" t="str">
        <f>HYPERLINK("https://pbs.twimg.com/profile_images/876740155473788928/4V7ewUTC.jpg","View")</f>
        <v>View</v>
      </c>
    </row>
    <row r="1731" spans="1:21" ht="20.399999999999999">
      <c r="A1731" s="6">
        <v>43439.56517361111</v>
      </c>
      <c r="B1731" s="7" t="str">
        <f>HYPERLINK("https://twitter.com/TaniaCrespo3","@TaniaCrespo3")</f>
        <v>@TaniaCrespo3</v>
      </c>
      <c r="C1731" s="8" t="s">
        <v>2505</v>
      </c>
      <c r="D1731" s="9" t="s">
        <v>6917</v>
      </c>
      <c r="E1731" s="10" t="str">
        <f>HYPERLINK("https://twitter.com/TaniaCrespo3/status/1070295182300626946","1070295182300626946")</f>
        <v>1070295182300626946</v>
      </c>
      <c r="F1731" s="11"/>
      <c r="G1731" s="11"/>
      <c r="H1731" s="11"/>
      <c r="I1731" s="14">
        <v>3</v>
      </c>
      <c r="J1731" s="14">
        <v>2</v>
      </c>
      <c r="K1731" s="15" t="str">
        <f>HYPERLINK("http://twitter.com/download/android","Twitter for Android")</f>
        <v>Twitter for Android</v>
      </c>
      <c r="L1731" s="14">
        <v>922</v>
      </c>
      <c r="M1731" s="14">
        <v>1765</v>
      </c>
      <c r="N1731" s="14">
        <v>0</v>
      </c>
      <c r="O1731" s="16"/>
      <c r="P1731" s="6">
        <v>43257.829548611116</v>
      </c>
      <c r="Q1731" s="12" t="s">
        <v>2507</v>
      </c>
      <c r="R1731" s="17" t="s">
        <v>2508</v>
      </c>
      <c r="S1731" s="11"/>
      <c r="T1731" s="11"/>
      <c r="U1731" s="10" t="str">
        <f>HYPERLINK("https://pbs.twimg.com/profile_images/1004426598471340033/zL90kJim.jpg","View")</f>
        <v>View</v>
      </c>
    </row>
    <row r="1732" spans="1:21" ht="30.6">
      <c r="A1732" s="6">
        <v>43439.564942129626</v>
      </c>
      <c r="B1732" s="7" t="str">
        <f>HYPERLINK("https://twitter.com/sinceridad001","@sinceridad001")</f>
        <v>@sinceridad001</v>
      </c>
      <c r="C1732" s="8" t="s">
        <v>5704</v>
      </c>
      <c r="D1732" s="9" t="s">
        <v>5705</v>
      </c>
      <c r="E1732" s="10" t="str">
        <f>HYPERLINK("https://twitter.com/sinceridad001/status/1070295100859867136","1070295100859867136")</f>
        <v>1070295100859867136</v>
      </c>
      <c r="F1732" s="11"/>
      <c r="G1732" s="11"/>
      <c r="H1732" s="11"/>
      <c r="I1732" s="14">
        <v>0</v>
      </c>
      <c r="J1732" s="14">
        <v>0</v>
      </c>
      <c r="K1732" s="15" t="str">
        <f t="shared" ref="K1732:K1733" si="343">HYPERLINK("http://twitter.com","Twitter Web Client")</f>
        <v>Twitter Web Client</v>
      </c>
      <c r="L1732" s="14">
        <v>776</v>
      </c>
      <c r="M1732" s="14">
        <v>636</v>
      </c>
      <c r="N1732" s="14">
        <v>8</v>
      </c>
      <c r="O1732" s="16"/>
      <c r="P1732" s="6">
        <v>41629.510868055557</v>
      </c>
      <c r="Q1732" s="11"/>
      <c r="R1732" s="17" t="s">
        <v>5706</v>
      </c>
      <c r="S1732" s="11"/>
      <c r="T1732" s="11"/>
      <c r="U1732" s="10" t="str">
        <f>HYPERLINK("https://pbs.twimg.com/profile_images/953002267464163328/T38v44fO.jpg","View")</f>
        <v>View</v>
      </c>
    </row>
    <row r="1733" spans="1:21" ht="51">
      <c r="A1733" s="6">
        <v>43439.564942129626</v>
      </c>
      <c r="B1733" s="7" t="str">
        <f>HYPERLINK("https://twitter.com/favimontejode","@favimontejode")</f>
        <v>@favimontejode</v>
      </c>
      <c r="C1733" s="8" t="s">
        <v>4598</v>
      </c>
      <c r="D1733" s="9" t="s">
        <v>5707</v>
      </c>
      <c r="E1733" s="10" t="str">
        <f>HYPERLINK("https://twitter.com/favimontejode/status/1070295100444565504","1070295100444565504")</f>
        <v>1070295100444565504</v>
      </c>
      <c r="F1733" s="11"/>
      <c r="G1733" s="11"/>
      <c r="H1733" s="11"/>
      <c r="I1733" s="14">
        <v>0</v>
      </c>
      <c r="J1733" s="14">
        <v>2</v>
      </c>
      <c r="K1733" s="15" t="str">
        <f t="shared" si="343"/>
        <v>Twitter Web Client</v>
      </c>
      <c r="L1733" s="14">
        <v>177</v>
      </c>
      <c r="M1733" s="14">
        <v>589</v>
      </c>
      <c r="N1733" s="14">
        <v>2</v>
      </c>
      <c r="O1733" s="16"/>
      <c r="P1733" s="6">
        <v>42941.533668981487</v>
      </c>
      <c r="Q1733" s="11"/>
      <c r="R1733" s="18"/>
      <c r="S1733" s="11"/>
      <c r="T1733" s="11"/>
      <c r="U1733" s="10" t="str">
        <f>HYPERLINK("https://pbs.twimg.com/profile_images/1019641569631227904/wFsFgt4M.jpg","View")</f>
        <v>View</v>
      </c>
    </row>
    <row r="1734" spans="1:21" ht="51">
      <c r="A1734" s="6">
        <v>43439.56486111111</v>
      </c>
      <c r="B1734" s="7" t="str">
        <f>HYPERLINK("https://twitter.com/vic_almiron","@vic_almiron")</f>
        <v>@vic_almiron</v>
      </c>
      <c r="C1734" s="8" t="s">
        <v>3106</v>
      </c>
      <c r="D1734" s="9" t="s">
        <v>5708</v>
      </c>
      <c r="E1734" s="10" t="str">
        <f>HYPERLINK("https://twitter.com/vic_almiron/status/1070295071243816960","1070295071243816960")</f>
        <v>1070295071243816960</v>
      </c>
      <c r="F1734" s="11"/>
      <c r="G1734" s="11"/>
      <c r="H1734" s="11"/>
      <c r="I1734" s="14">
        <v>29</v>
      </c>
      <c r="J1734" s="14">
        <v>52</v>
      </c>
      <c r="K1734" s="15" t="str">
        <f>HYPERLINK("http://twitter.com/download/iphone","Twitter for iPhone")</f>
        <v>Twitter for iPhone</v>
      </c>
      <c r="L1734" s="14">
        <v>2070</v>
      </c>
      <c r="M1734" s="14">
        <v>1234</v>
      </c>
      <c r="N1734" s="14">
        <v>87</v>
      </c>
      <c r="O1734" s="16"/>
      <c r="P1734" s="6">
        <v>40448.670092592591</v>
      </c>
      <c r="Q1734" s="12" t="s">
        <v>29</v>
      </c>
      <c r="R1734" s="17" t="s">
        <v>3108</v>
      </c>
      <c r="S1734" s="13" t="s">
        <v>3109</v>
      </c>
      <c r="T1734" s="11"/>
      <c r="U1734" s="10" t="str">
        <f>HYPERLINK("https://pbs.twimg.com/profile_images/851126623441211393/bNJrdJaS.jpg","View")</f>
        <v>View</v>
      </c>
    </row>
    <row r="1735" spans="1:21" ht="20.399999999999999">
      <c r="A1735" s="6">
        <v>43439.564803240741</v>
      </c>
      <c r="B1735" s="7" t="str">
        <f>HYPERLINK("https://twitter.com/CSurNoticias","@CSurNoticias")</f>
        <v>@CSurNoticias</v>
      </c>
      <c r="C1735" s="8" t="s">
        <v>5789</v>
      </c>
      <c r="D1735" s="9" t="s">
        <v>6926</v>
      </c>
      <c r="E1735" s="10" t="str">
        <f>HYPERLINK("https://twitter.com/CSurNoticias/status/1070295050188451840","1070295050188451840")</f>
        <v>1070295050188451840</v>
      </c>
      <c r="F1735" s="13" t="s">
        <v>6929</v>
      </c>
      <c r="G1735" s="13" t="s">
        <v>6930</v>
      </c>
      <c r="H1735" s="11"/>
      <c r="I1735" s="14">
        <v>0</v>
      </c>
      <c r="J1735" s="14">
        <v>0</v>
      </c>
      <c r="K1735" s="15" t="str">
        <f>HYPERLINK("https://www.hootsuite.com","Hootsuite Inc.")</f>
        <v>Hootsuite Inc.</v>
      </c>
      <c r="L1735" s="14">
        <v>53215</v>
      </c>
      <c r="M1735" s="14">
        <v>232</v>
      </c>
      <c r="N1735" s="14">
        <v>890</v>
      </c>
      <c r="O1735" s="19" t="s">
        <v>42</v>
      </c>
      <c r="P1735" s="6">
        <v>39931.566990740743</v>
      </c>
      <c r="Q1735" s="12" t="s">
        <v>231</v>
      </c>
      <c r="R1735" s="17" t="s">
        <v>5794</v>
      </c>
      <c r="S1735" s="13" t="s">
        <v>5795</v>
      </c>
      <c r="T1735" s="11"/>
      <c r="U1735" s="10" t="str">
        <f>HYPERLINK("https://pbs.twimg.com/profile_images/1040565829119696896/5IRki3sL.jpg","View")</f>
        <v>View</v>
      </c>
    </row>
    <row r="1736" spans="1:21" ht="40.799999999999997">
      <c r="A1736" s="6">
        <v>43439.563449074078</v>
      </c>
      <c r="B1736" s="7" t="str">
        <f>HYPERLINK("https://twitter.com/Movev_zulia","@Movev_zulia")</f>
        <v>@Movev_zulia</v>
      </c>
      <c r="C1736" s="8" t="s">
        <v>1089</v>
      </c>
      <c r="D1736" s="9" t="s">
        <v>5709</v>
      </c>
      <c r="E1736" s="10" t="str">
        <f>HYPERLINK("https://twitter.com/Movev_zulia/status/1070294557600960512","1070294557600960512")</f>
        <v>1070294557600960512</v>
      </c>
      <c r="F1736" s="11"/>
      <c r="G1736" s="11"/>
      <c r="H1736" s="11"/>
      <c r="I1736" s="14">
        <v>0</v>
      </c>
      <c r="J1736" s="14">
        <v>0</v>
      </c>
      <c r="K1736" s="15" t="str">
        <f>HYPERLINK("http://twitter.com/download/android","Twitter for Android")</f>
        <v>Twitter for Android</v>
      </c>
      <c r="L1736" s="14">
        <v>4440</v>
      </c>
      <c r="M1736" s="14">
        <v>4052</v>
      </c>
      <c r="N1736" s="14">
        <v>50</v>
      </c>
      <c r="O1736" s="16"/>
      <c r="P1736" s="6">
        <v>40042.179976851854</v>
      </c>
      <c r="Q1736" s="12" t="s">
        <v>1096</v>
      </c>
      <c r="R1736" s="17" t="s">
        <v>1097</v>
      </c>
      <c r="S1736" s="11"/>
      <c r="T1736" s="11"/>
      <c r="U1736" s="10" t="str">
        <f>HYPERLINK("https://pbs.twimg.com/profile_images/1061345906350546945/9yGklYGH.jpg","View")</f>
        <v>View</v>
      </c>
    </row>
    <row r="1737" spans="1:21" ht="51">
      <c r="A1737" s="6">
        <v>43439.563206018516</v>
      </c>
      <c r="B1737" s="7" t="str">
        <f>HYPERLINK("https://twitter.com/sinceridad001","@sinceridad001")</f>
        <v>@sinceridad001</v>
      </c>
      <c r="C1737" s="8" t="s">
        <v>5704</v>
      </c>
      <c r="D1737" s="9" t="s">
        <v>5714</v>
      </c>
      <c r="E1737" s="10" t="str">
        <f>HYPERLINK("https://twitter.com/sinceridad001/status/1070294470212632576","1070294470212632576")</f>
        <v>1070294470212632576</v>
      </c>
      <c r="F1737" s="11"/>
      <c r="G1737" s="11"/>
      <c r="H1737" s="11"/>
      <c r="I1737" s="14">
        <v>0</v>
      </c>
      <c r="J1737" s="14">
        <v>1</v>
      </c>
      <c r="K1737" s="15" t="str">
        <f>HYPERLINK("http://twitter.com","Twitter Web Client")</f>
        <v>Twitter Web Client</v>
      </c>
      <c r="L1737" s="14">
        <v>776</v>
      </c>
      <c r="M1737" s="14">
        <v>636</v>
      </c>
      <c r="N1737" s="14">
        <v>8</v>
      </c>
      <c r="O1737" s="16"/>
      <c r="P1737" s="6">
        <v>41629.510868055557</v>
      </c>
      <c r="Q1737" s="11"/>
      <c r="R1737" s="17" t="s">
        <v>5706</v>
      </c>
      <c r="S1737" s="11"/>
      <c r="T1737" s="11"/>
      <c r="U1737" s="10" t="str">
        <f>HYPERLINK("https://pbs.twimg.com/profile_images/953002267464163328/T38v44fO.jpg","View")</f>
        <v>View</v>
      </c>
    </row>
    <row r="1738" spans="1:21" ht="30.6">
      <c r="A1738" s="6">
        <v>43439.562824074077</v>
      </c>
      <c r="B1738" s="7" t="str">
        <f>HYPERLINK("https://twitter.com/enkarni17","@enkarni17")</f>
        <v>@enkarni17</v>
      </c>
      <c r="C1738" s="8" t="s">
        <v>6944</v>
      </c>
      <c r="D1738" s="9" t="s">
        <v>6945</v>
      </c>
      <c r="E1738" s="10" t="str">
        <f>HYPERLINK("https://twitter.com/enkarni17/status/1070294329921585157","1070294329921585157")</f>
        <v>1070294329921585157</v>
      </c>
      <c r="F1738" s="11"/>
      <c r="G1738" s="11"/>
      <c r="H1738" s="11"/>
      <c r="I1738" s="14">
        <v>0</v>
      </c>
      <c r="J1738" s="14">
        <v>0</v>
      </c>
      <c r="K1738" s="15" t="str">
        <f>HYPERLINK("http://twitter.com/download/iphone","Twitter for iPhone")</f>
        <v>Twitter for iPhone</v>
      </c>
      <c r="L1738" s="14">
        <v>3753</v>
      </c>
      <c r="M1738" s="14">
        <v>2140</v>
      </c>
      <c r="N1738" s="14">
        <v>31</v>
      </c>
      <c r="O1738" s="16"/>
      <c r="P1738" s="6">
        <v>40224.84175925926</v>
      </c>
      <c r="Q1738" s="12" t="s">
        <v>6946</v>
      </c>
      <c r="R1738" s="17" t="s">
        <v>6947</v>
      </c>
      <c r="S1738" s="11"/>
      <c r="T1738" s="11"/>
      <c r="U1738" s="10" t="str">
        <f>HYPERLINK("https://pbs.twimg.com/profile_images/923340886024638465/VdkG1Hs9.jpg","View")</f>
        <v>View</v>
      </c>
    </row>
    <row r="1739" spans="1:21" ht="91.8">
      <c r="A1739" s="6">
        <v>43439.562569444446</v>
      </c>
      <c r="B1739" s="7" t="str">
        <f>HYPERLINK("https://twitter.com/ElisaReinhard1","@ElisaReinhard1")</f>
        <v>@ElisaReinhard1</v>
      </c>
      <c r="C1739" s="8" t="s">
        <v>3340</v>
      </c>
      <c r="D1739" s="9" t="s">
        <v>5719</v>
      </c>
      <c r="E1739" s="10" t="str">
        <f>HYPERLINK("https://twitter.com/ElisaReinhard1/status/1070294238951288834","1070294238951288834")</f>
        <v>1070294238951288834</v>
      </c>
      <c r="F1739" s="13" t="s">
        <v>5722</v>
      </c>
      <c r="G1739" s="13" t="s">
        <v>5053</v>
      </c>
      <c r="H1739" s="11"/>
      <c r="I1739" s="14">
        <v>0</v>
      </c>
      <c r="J1739" s="14">
        <v>1</v>
      </c>
      <c r="K1739" s="15" t="str">
        <f>HYPERLINK("https://mobile.twitter.com","Twitter Lite")</f>
        <v>Twitter Lite</v>
      </c>
      <c r="L1739" s="14">
        <v>2912</v>
      </c>
      <c r="M1739" s="14">
        <v>2169</v>
      </c>
      <c r="N1739" s="14">
        <v>3</v>
      </c>
      <c r="O1739" s="16"/>
      <c r="P1739" s="6">
        <v>41525.536689814813</v>
      </c>
      <c r="Q1739" s="12" t="s">
        <v>3345</v>
      </c>
      <c r="R1739" s="17" t="s">
        <v>3346</v>
      </c>
      <c r="S1739" s="11"/>
      <c r="T1739" s="11"/>
      <c r="U1739" s="10" t="str">
        <f>HYPERLINK("https://pbs.twimg.com/profile_images/949912683976982528/mreSKjer.jpg","View")</f>
        <v>View</v>
      </c>
    </row>
    <row r="1740" spans="1:21" ht="40.799999999999997">
      <c r="A1740" s="6">
        <v>43439.562280092592</v>
      </c>
      <c r="B1740" s="7" t="str">
        <f>HYPERLINK("https://twitter.com/frelimpio","@frelimpio")</f>
        <v>@frelimpio</v>
      </c>
      <c r="C1740" s="8" t="s">
        <v>5725</v>
      </c>
      <c r="D1740" s="9" t="s">
        <v>5726</v>
      </c>
      <c r="E1740" s="10" t="str">
        <f>HYPERLINK("https://twitter.com/frelimpio/status/1070294136211865601","1070294136211865601")</f>
        <v>1070294136211865601</v>
      </c>
      <c r="F1740" s="13" t="s">
        <v>5727</v>
      </c>
      <c r="G1740" s="11"/>
      <c r="H1740" s="11"/>
      <c r="I1740" s="14">
        <v>1</v>
      </c>
      <c r="J1740" s="14">
        <v>1</v>
      </c>
      <c r="K1740" s="15" t="str">
        <f>HYPERLINK("http://twitter.com","Twitter Web Client")</f>
        <v>Twitter Web Client</v>
      </c>
      <c r="L1740" s="14">
        <v>3250</v>
      </c>
      <c r="M1740" s="14">
        <v>2740</v>
      </c>
      <c r="N1740" s="14">
        <v>113</v>
      </c>
      <c r="O1740" s="16"/>
      <c r="P1740" s="6">
        <v>40490.382824074077</v>
      </c>
      <c r="Q1740" s="12" t="s">
        <v>969</v>
      </c>
      <c r="R1740" s="17" t="s">
        <v>5730</v>
      </c>
      <c r="S1740" s="13" t="s">
        <v>5731</v>
      </c>
      <c r="T1740" s="11"/>
      <c r="U1740" s="10" t="str">
        <f>HYPERLINK("https://pbs.twimg.com/profile_images/1019290774108819458/wz1I2xwz.jpg","View")</f>
        <v>View</v>
      </c>
    </row>
    <row r="1741" spans="1:21" ht="51">
      <c r="A1741" s="6">
        <v>43439.562071759261</v>
      </c>
      <c r="B1741" s="7" t="str">
        <f>HYPERLINK("https://twitter.com/Sr_Choco89","@Sr_Choco89")</f>
        <v>@Sr_Choco89</v>
      </c>
      <c r="C1741" s="8" t="s">
        <v>5733</v>
      </c>
      <c r="D1741" s="9" t="s">
        <v>5734</v>
      </c>
      <c r="E1741" s="10" t="str">
        <f>HYPERLINK("https://twitter.com/Sr_Choco89/status/1070294057602166784","1070294057602166784")</f>
        <v>1070294057602166784</v>
      </c>
      <c r="F1741" s="11"/>
      <c r="G1741" s="11"/>
      <c r="H1741" s="11"/>
      <c r="I1741" s="14">
        <v>0</v>
      </c>
      <c r="J1741" s="14">
        <v>0</v>
      </c>
      <c r="K1741" s="15" t="str">
        <f t="shared" ref="K1741:K1747" si="344">HYPERLINK("http://twitter.com/download/android","Twitter for Android")</f>
        <v>Twitter for Android</v>
      </c>
      <c r="L1741" s="14">
        <v>14</v>
      </c>
      <c r="M1741" s="14">
        <v>15</v>
      </c>
      <c r="N1741" s="14">
        <v>0</v>
      </c>
      <c r="O1741" s="16"/>
      <c r="P1741" s="6">
        <v>42965.519675925927</v>
      </c>
      <c r="Q1741" s="11"/>
      <c r="R1741" s="18"/>
      <c r="S1741" s="11"/>
      <c r="T1741" s="11"/>
      <c r="U1741" s="10" t="str">
        <f>HYPERLINK("https://pbs.twimg.com/profile_images/898500664741048320/yg2Jvy-a.jpg","View")</f>
        <v>View</v>
      </c>
    </row>
    <row r="1742" spans="1:21" ht="51">
      <c r="A1742" s="6">
        <v>43439.562013888892</v>
      </c>
      <c r="B1742" s="7" t="str">
        <f>HYPERLINK("https://twitter.com/bizzentte","@bizzentte")</f>
        <v>@bizzentte</v>
      </c>
      <c r="C1742" s="8" t="s">
        <v>5738</v>
      </c>
      <c r="D1742" s="9" t="s">
        <v>5739</v>
      </c>
      <c r="E1742" s="10" t="str">
        <f>HYPERLINK("https://twitter.com/bizzentte/status/1070294036488036352","1070294036488036352")</f>
        <v>1070294036488036352</v>
      </c>
      <c r="F1742" s="11"/>
      <c r="G1742" s="11"/>
      <c r="H1742" s="11"/>
      <c r="I1742" s="14">
        <v>2</v>
      </c>
      <c r="J1742" s="14">
        <v>0</v>
      </c>
      <c r="K1742" s="15" t="str">
        <f t="shared" si="344"/>
        <v>Twitter for Android</v>
      </c>
      <c r="L1742" s="14">
        <v>1942</v>
      </c>
      <c r="M1742" s="14">
        <v>1932</v>
      </c>
      <c r="N1742" s="14">
        <v>52</v>
      </c>
      <c r="O1742" s="16"/>
      <c r="P1742" s="6">
        <v>40111.100358796299</v>
      </c>
      <c r="Q1742" s="12" t="s">
        <v>137</v>
      </c>
      <c r="R1742" s="17" t="s">
        <v>5740</v>
      </c>
      <c r="S1742" s="13" t="s">
        <v>5741</v>
      </c>
      <c r="T1742" s="11"/>
      <c r="U1742" s="10" t="str">
        <f>HYPERLINK("https://pbs.twimg.com/profile_images/898760126101946368/B0hdlg8N.jpg","View")</f>
        <v>View</v>
      </c>
    </row>
    <row r="1743" spans="1:21" ht="40.799999999999997">
      <c r="A1743" s="6">
        <v>43439.561284722222</v>
      </c>
      <c r="B1743" s="7" t="str">
        <f>HYPERLINK("https://twitter.com/agus_m_altes","@agus_m_altes")</f>
        <v>@agus_m_altes</v>
      </c>
      <c r="C1743" s="8" t="s">
        <v>5615</v>
      </c>
      <c r="D1743" s="9" t="s">
        <v>5742</v>
      </c>
      <c r="E1743" s="10" t="str">
        <f>HYPERLINK("https://twitter.com/agus_m_altes/status/1070293776009179136","1070293776009179136")</f>
        <v>1070293776009179136</v>
      </c>
      <c r="F1743" s="13" t="s">
        <v>5743</v>
      </c>
      <c r="G1743" s="11"/>
      <c r="H1743" s="11"/>
      <c r="I1743" s="14">
        <v>0</v>
      </c>
      <c r="J1743" s="14">
        <v>0</v>
      </c>
      <c r="K1743" s="15" t="str">
        <f t="shared" si="344"/>
        <v>Twitter for Android</v>
      </c>
      <c r="L1743" s="14">
        <v>484</v>
      </c>
      <c r="M1743" s="14">
        <v>1204</v>
      </c>
      <c r="N1743" s="14">
        <v>1</v>
      </c>
      <c r="O1743" s="16"/>
      <c r="P1743" s="6">
        <v>42968.503333333334</v>
      </c>
      <c r="Q1743" s="11"/>
      <c r="R1743" s="17" t="s">
        <v>5618</v>
      </c>
      <c r="S1743" s="11"/>
      <c r="T1743" s="11"/>
      <c r="U1743" s="10" t="str">
        <f>HYPERLINK("https://pbs.twimg.com/profile_images/899577060393459712/2rE6D2YD.jpg","View")</f>
        <v>View</v>
      </c>
    </row>
    <row r="1744" spans="1:21" ht="40.799999999999997">
      <c r="A1744" s="6">
        <v>43439.561226851853</v>
      </c>
      <c r="B1744" s="7" t="str">
        <f>HYPERLINK("https://twitter.com/TaniaCrespo3","@TaniaCrespo3")</f>
        <v>@TaniaCrespo3</v>
      </c>
      <c r="C1744" s="8" t="s">
        <v>2505</v>
      </c>
      <c r="D1744" s="9" t="s">
        <v>6965</v>
      </c>
      <c r="E1744" s="10" t="str">
        <f>HYPERLINK("https://twitter.com/TaniaCrespo3/status/1070293753963913218","1070293753963913218")</f>
        <v>1070293753963913218</v>
      </c>
      <c r="F1744" s="11"/>
      <c r="G1744" s="11"/>
      <c r="H1744" s="11"/>
      <c r="I1744" s="14">
        <v>45</v>
      </c>
      <c r="J1744" s="14">
        <v>48</v>
      </c>
      <c r="K1744" s="15" t="str">
        <f t="shared" si="344"/>
        <v>Twitter for Android</v>
      </c>
      <c r="L1744" s="14">
        <v>922</v>
      </c>
      <c r="M1744" s="14">
        <v>1765</v>
      </c>
      <c r="N1744" s="14">
        <v>0</v>
      </c>
      <c r="O1744" s="16"/>
      <c r="P1744" s="6">
        <v>43257.829548611116</v>
      </c>
      <c r="Q1744" s="12" t="s">
        <v>2507</v>
      </c>
      <c r="R1744" s="17" t="s">
        <v>2508</v>
      </c>
      <c r="S1744" s="11"/>
      <c r="T1744" s="11"/>
      <c r="U1744" s="10" t="str">
        <f>HYPERLINK("https://pbs.twimg.com/profile_images/1004426598471340033/zL90kJim.jpg","View")</f>
        <v>View</v>
      </c>
    </row>
    <row r="1745" spans="1:21" ht="71.400000000000006">
      <c r="A1745" s="6">
        <v>43439.561203703706</v>
      </c>
      <c r="B1745" s="7" t="str">
        <f>HYPERLINK("https://twitter.com/FranGamDom","@FranGamDom")</f>
        <v>@FranGamDom</v>
      </c>
      <c r="C1745" s="8" t="s">
        <v>5744</v>
      </c>
      <c r="D1745" s="9" t="s">
        <v>5745</v>
      </c>
      <c r="E1745" s="10" t="str">
        <f>HYPERLINK("https://twitter.com/FranGamDom/status/1070293743956316160","1070293743956316160")</f>
        <v>1070293743956316160</v>
      </c>
      <c r="F1745" s="13" t="s">
        <v>5747</v>
      </c>
      <c r="G1745" s="11"/>
      <c r="H1745" s="11"/>
      <c r="I1745" s="14">
        <v>0</v>
      </c>
      <c r="J1745" s="14">
        <v>2</v>
      </c>
      <c r="K1745" s="15" t="str">
        <f t="shared" si="344"/>
        <v>Twitter for Android</v>
      </c>
      <c r="L1745" s="14">
        <v>1769</v>
      </c>
      <c r="M1745" s="14">
        <v>1061</v>
      </c>
      <c r="N1745" s="14">
        <v>22</v>
      </c>
      <c r="O1745" s="16"/>
      <c r="P1745" s="6">
        <v>40772.832743055558</v>
      </c>
      <c r="Q1745" s="12" t="s">
        <v>5748</v>
      </c>
      <c r="R1745" s="17" t="s">
        <v>5749</v>
      </c>
      <c r="S1745" s="11"/>
      <c r="T1745" s="11"/>
      <c r="U1745" s="10" t="str">
        <f>HYPERLINK("https://pbs.twimg.com/profile_images/1050288795252379648/CRj_cNed.jpg","View")</f>
        <v>View</v>
      </c>
    </row>
    <row r="1746" spans="1:21" ht="40.799999999999997">
      <c r="A1746" s="6">
        <v>43439.561064814814</v>
      </c>
      <c r="B1746" s="7" t="str">
        <f>HYPERLINK("https://twitter.com/Albertxo23","@Albertxo23")</f>
        <v>@Albertxo23</v>
      </c>
      <c r="C1746" s="8" t="s">
        <v>3013</v>
      </c>
      <c r="D1746" s="9" t="s">
        <v>5752</v>
      </c>
      <c r="E1746" s="10" t="str">
        <f>HYPERLINK("https://twitter.com/Albertxo23/status/1070293692475416576","1070293692475416576")</f>
        <v>1070293692475416576</v>
      </c>
      <c r="F1746" s="11"/>
      <c r="G1746" s="11"/>
      <c r="H1746" s="11"/>
      <c r="I1746" s="14">
        <v>0</v>
      </c>
      <c r="J1746" s="14">
        <v>2</v>
      </c>
      <c r="K1746" s="15" t="str">
        <f t="shared" si="344"/>
        <v>Twitter for Android</v>
      </c>
      <c r="L1746" s="14">
        <v>966</v>
      </c>
      <c r="M1746" s="14">
        <v>384</v>
      </c>
      <c r="N1746" s="14">
        <v>12</v>
      </c>
      <c r="O1746" s="16"/>
      <c r="P1746" s="6">
        <v>40368.665891203702</v>
      </c>
      <c r="Q1746" s="12" t="s">
        <v>3015</v>
      </c>
      <c r="R1746" s="17" t="s">
        <v>3016</v>
      </c>
      <c r="S1746" s="11"/>
      <c r="T1746" s="11"/>
      <c r="U1746" s="10" t="str">
        <f>HYPERLINK("https://pbs.twimg.com/profile_images/1033518775595933698/1SdTrHv7.jpg","View")</f>
        <v>View</v>
      </c>
    </row>
    <row r="1747" spans="1:21" ht="30.6">
      <c r="A1747" s="6">
        <v>43439.560381944444</v>
      </c>
      <c r="B1747" s="7" t="str">
        <f>HYPERLINK("https://twitter.com/ConSusanaMas","@ConSusanaMas")</f>
        <v>@ConSusanaMas</v>
      </c>
      <c r="C1747" s="8" t="s">
        <v>5753</v>
      </c>
      <c r="D1747" s="9" t="s">
        <v>5754</v>
      </c>
      <c r="E1747" s="10" t="str">
        <f>HYPERLINK("https://twitter.com/ConSusanaMas/status/1070293446278168576","1070293446278168576")</f>
        <v>1070293446278168576</v>
      </c>
      <c r="F1747" s="11"/>
      <c r="G1747" s="13" t="s">
        <v>5755</v>
      </c>
      <c r="H1747" s="11"/>
      <c r="I1747" s="14">
        <v>0</v>
      </c>
      <c r="J1747" s="14">
        <v>0</v>
      </c>
      <c r="K1747" s="15" t="str">
        <f t="shared" si="344"/>
        <v>Twitter for Android</v>
      </c>
      <c r="L1747" s="14">
        <v>35</v>
      </c>
      <c r="M1747" s="14">
        <v>181</v>
      </c>
      <c r="N1747" s="14">
        <v>0</v>
      </c>
      <c r="O1747" s="16"/>
      <c r="P1747" s="6">
        <v>43422.976400462961</v>
      </c>
      <c r="Q1747" s="12" t="s">
        <v>5756</v>
      </c>
      <c r="R1747" s="17" t="s">
        <v>5757</v>
      </c>
      <c r="S1747" s="13" t="s">
        <v>5758</v>
      </c>
      <c r="T1747" s="11"/>
      <c r="U1747" s="10" t="str">
        <f>HYPERLINK("https://pbs.twimg.com/profile_images/1067192761005293569/YSuWSMmp.jpg","View")</f>
        <v>View</v>
      </c>
    </row>
    <row r="1748" spans="1:21" ht="30.6">
      <c r="A1748" s="6">
        <v>43439.560196759259</v>
      </c>
      <c r="B1748" s="7" t="str">
        <f>HYPERLINK("https://twitter.com/Patriciathletic","@Patriciathletic")</f>
        <v>@Patriciathletic</v>
      </c>
      <c r="C1748" s="8" t="s">
        <v>5759</v>
      </c>
      <c r="D1748" s="9" t="s">
        <v>5760</v>
      </c>
      <c r="E1748" s="10" t="str">
        <f>HYPERLINK("https://twitter.com/Patriciathletic/status/1070293379664277504","1070293379664277504")</f>
        <v>1070293379664277504</v>
      </c>
      <c r="F1748" s="11"/>
      <c r="G1748" s="11"/>
      <c r="H1748" s="11"/>
      <c r="I1748" s="14">
        <v>2</v>
      </c>
      <c r="J1748" s="14">
        <v>0</v>
      </c>
      <c r="K1748" s="15" t="str">
        <f>HYPERLINK("http://twitter.com/download/iphone","Twitter for iPhone")</f>
        <v>Twitter for iPhone</v>
      </c>
      <c r="L1748" s="14">
        <v>1790</v>
      </c>
      <c r="M1748" s="14">
        <v>1665</v>
      </c>
      <c r="N1748" s="14">
        <v>24</v>
      </c>
      <c r="O1748" s="16"/>
      <c r="P1748" s="6">
        <v>40952.95930555556</v>
      </c>
      <c r="Q1748" s="11"/>
      <c r="R1748" s="17" t="s">
        <v>5761</v>
      </c>
      <c r="S1748" s="11"/>
      <c r="T1748" s="11"/>
      <c r="U1748" s="10" t="str">
        <f>HYPERLINK("https://pbs.twimg.com/profile_images/1049621819140034560/lrg2CYzn.jpg","View")</f>
        <v>View</v>
      </c>
    </row>
    <row r="1749" spans="1:21" ht="51">
      <c r="A1749" s="6">
        <v>43439.559895833328</v>
      </c>
      <c r="B1749" s="7" t="str">
        <f>HYPERLINK("https://twitter.com/Sr_Choco89","@Sr_Choco89")</f>
        <v>@Sr_Choco89</v>
      </c>
      <c r="C1749" s="8" t="s">
        <v>5733</v>
      </c>
      <c r="D1749" s="9" t="s">
        <v>5762</v>
      </c>
      <c r="E1749" s="10" t="str">
        <f>HYPERLINK("https://twitter.com/Sr_Choco89/status/1070293269828026369","1070293269828026369")</f>
        <v>1070293269828026369</v>
      </c>
      <c r="F1749" s="11"/>
      <c r="G1749" s="11"/>
      <c r="H1749" s="11"/>
      <c r="I1749" s="14">
        <v>1</v>
      </c>
      <c r="J1749" s="14">
        <v>1</v>
      </c>
      <c r="K1749" s="15" t="str">
        <f>HYPERLINK("http://twitter.com/download/android","Twitter for Android")</f>
        <v>Twitter for Android</v>
      </c>
      <c r="L1749" s="14">
        <v>14</v>
      </c>
      <c r="M1749" s="14">
        <v>15</v>
      </c>
      <c r="N1749" s="14">
        <v>0</v>
      </c>
      <c r="O1749" s="16"/>
      <c r="P1749" s="6">
        <v>42965.519675925927</v>
      </c>
      <c r="Q1749" s="11"/>
      <c r="R1749" s="18"/>
      <c r="S1749" s="11"/>
      <c r="T1749" s="11"/>
      <c r="U1749" s="10" t="str">
        <f>HYPERLINK("https://pbs.twimg.com/profile_images/898500664741048320/yg2Jvy-a.jpg","View")</f>
        <v>View</v>
      </c>
    </row>
    <row r="1750" spans="1:21" ht="20.399999999999999">
      <c r="A1750" s="6">
        <v>43439.55976851852</v>
      </c>
      <c r="B1750" s="7" t="str">
        <f>HYPERLINK("https://twitter.com/agarcibarn","@agarcibarn")</f>
        <v>@agarcibarn</v>
      </c>
      <c r="C1750" s="8" t="s">
        <v>6987</v>
      </c>
      <c r="D1750" s="9" t="s">
        <v>6988</v>
      </c>
      <c r="E1750" s="10" t="str">
        <f>HYPERLINK("https://twitter.com/agarcibarn/status/1070293223837523969","1070293223837523969")</f>
        <v>1070293223837523969</v>
      </c>
      <c r="F1750" s="11"/>
      <c r="G1750" s="11"/>
      <c r="H1750" s="11"/>
      <c r="I1750" s="14">
        <v>0</v>
      </c>
      <c r="J1750" s="14">
        <v>1</v>
      </c>
      <c r="K1750" s="15" t="str">
        <f t="shared" ref="K1750:K1751" si="345">HYPERLINK("https://mobile.twitter.com","Twitter Lite")</f>
        <v>Twitter Lite</v>
      </c>
      <c r="L1750" s="14">
        <v>673</v>
      </c>
      <c r="M1750" s="14">
        <v>636</v>
      </c>
      <c r="N1750" s="14">
        <v>14</v>
      </c>
      <c r="O1750" s="16"/>
      <c r="P1750" s="6">
        <v>41029.929988425924</v>
      </c>
      <c r="Q1750" s="11"/>
      <c r="R1750" s="18"/>
      <c r="S1750" s="11"/>
      <c r="T1750" s="11"/>
      <c r="U1750" s="10" t="str">
        <f>HYPERLINK("https://pbs.twimg.com/profile_images/952826815579648000/hX91Fc1k.jpg","View")</f>
        <v>View</v>
      </c>
    </row>
    <row r="1751" spans="1:21" ht="40.799999999999997">
      <c r="A1751" s="6">
        <v>43439.559710648144</v>
      </c>
      <c r="B1751" s="7" t="str">
        <f>HYPERLINK("https://twitter.com/PartidoRepEs","@PartidoRepEs")</f>
        <v>@PartidoRepEs</v>
      </c>
      <c r="C1751" s="8" t="s">
        <v>519</v>
      </c>
      <c r="D1751" s="9" t="s">
        <v>6992</v>
      </c>
      <c r="E1751" s="10" t="str">
        <f>HYPERLINK("https://twitter.com/PartidoRepEs/status/1070293203704786945","1070293203704786945")</f>
        <v>1070293203704786945</v>
      </c>
      <c r="F1751" s="11"/>
      <c r="G1751" s="11"/>
      <c r="H1751" s="11"/>
      <c r="I1751" s="14">
        <v>0</v>
      </c>
      <c r="J1751" s="14">
        <v>0</v>
      </c>
      <c r="K1751" s="15" t="str">
        <f t="shared" si="345"/>
        <v>Twitter Lite</v>
      </c>
      <c r="L1751" s="14">
        <v>4366</v>
      </c>
      <c r="M1751" s="14">
        <v>4993</v>
      </c>
      <c r="N1751" s="14">
        <v>25</v>
      </c>
      <c r="O1751" s="16"/>
      <c r="P1751" s="6">
        <v>42183.720682870371</v>
      </c>
      <c r="Q1751" s="11"/>
      <c r="R1751" s="17" t="s">
        <v>523</v>
      </c>
      <c r="S1751" s="13" t="s">
        <v>524</v>
      </c>
      <c r="T1751" s="11"/>
      <c r="U1751" s="10" t="str">
        <f>HYPERLINK("https://pbs.twimg.com/profile_images/615180335417040901/p8IX-96B.jpg","View")</f>
        <v>View</v>
      </c>
    </row>
    <row r="1752" spans="1:21" ht="40.799999999999997">
      <c r="A1752" s="6">
        <v>43439.559166666666</v>
      </c>
      <c r="B1752" s="7" t="str">
        <f>HYPERLINK("https://twitter.com/Alfredo12455091","@Alfredo12455091")</f>
        <v>@Alfredo12455091</v>
      </c>
      <c r="C1752" s="8" t="s">
        <v>6996</v>
      </c>
      <c r="D1752" s="9" t="s">
        <v>6997</v>
      </c>
      <c r="E1752" s="10" t="str">
        <f>HYPERLINK("https://twitter.com/Alfredo12455091/status/1070293005976903680","1070293005976903680")</f>
        <v>1070293005976903680</v>
      </c>
      <c r="F1752" s="11"/>
      <c r="G1752" s="11"/>
      <c r="H1752" s="11"/>
      <c r="I1752" s="14">
        <v>0</v>
      </c>
      <c r="J1752" s="14">
        <v>0</v>
      </c>
      <c r="K1752" s="15" t="str">
        <f t="shared" ref="K1752:K1753" si="346">HYPERLINK("http://twitter.com","Twitter Web Client")</f>
        <v>Twitter Web Client</v>
      </c>
      <c r="L1752" s="14">
        <v>23</v>
      </c>
      <c r="M1752" s="14">
        <v>30</v>
      </c>
      <c r="N1752" s="14">
        <v>0</v>
      </c>
      <c r="O1752" s="16"/>
      <c r="P1752" s="6">
        <v>43386.930451388893</v>
      </c>
      <c r="Q1752" s="12" t="s">
        <v>6999</v>
      </c>
      <c r="R1752" s="17" t="s">
        <v>7000</v>
      </c>
      <c r="S1752" s="11"/>
      <c r="T1752" s="11"/>
      <c r="U1752" s="10" t="str">
        <f>HYPERLINK("https://pbs.twimg.com/profile_images/1071034228689768448/pOIFi2bu.jpg","View")</f>
        <v>View</v>
      </c>
    </row>
    <row r="1753" spans="1:21" ht="20.399999999999999">
      <c r="A1753" s="6">
        <v>43439.558819444443</v>
      </c>
      <c r="B1753" s="7" t="str">
        <f>HYPERLINK("https://twitter.com/Tormentavideos","@Tormentavideos")</f>
        <v>@Tormentavideos</v>
      </c>
      <c r="C1753" s="8" t="s">
        <v>4721</v>
      </c>
      <c r="D1753" s="9" t="s">
        <v>5766</v>
      </c>
      <c r="E1753" s="10" t="str">
        <f>HYPERLINK("https://twitter.com/Tormentavideos/status/1070292880315555840","1070292880315555840")</f>
        <v>1070292880315555840</v>
      </c>
      <c r="F1753" s="11"/>
      <c r="G1753" s="11"/>
      <c r="H1753" s="11"/>
      <c r="I1753" s="14">
        <v>0</v>
      </c>
      <c r="J1753" s="14">
        <v>0</v>
      </c>
      <c r="K1753" s="15" t="str">
        <f t="shared" si="346"/>
        <v>Twitter Web Client</v>
      </c>
      <c r="L1753" s="14">
        <v>458</v>
      </c>
      <c r="M1753" s="14">
        <v>1726</v>
      </c>
      <c r="N1753" s="14">
        <v>2</v>
      </c>
      <c r="O1753" s="16"/>
      <c r="P1753" s="6">
        <v>43040.506828703699</v>
      </c>
      <c r="Q1753" s="12" t="s">
        <v>60</v>
      </c>
      <c r="R1753" s="17" t="s">
        <v>4724</v>
      </c>
      <c r="S1753" s="13" t="s">
        <v>4725</v>
      </c>
      <c r="T1753" s="11"/>
      <c r="U1753" s="10" t="str">
        <f>HYPERLINK("https://pbs.twimg.com/profile_images/925682426139086849/jMMKbDpS.jpg","View")</f>
        <v>View</v>
      </c>
    </row>
    <row r="1754" spans="1:21" ht="20.399999999999999">
      <c r="A1754" s="6">
        <v>43439.558229166665</v>
      </c>
      <c r="B1754" s="7" t="str">
        <f>HYPERLINK("https://twitter.com/antoninomora","@antoninomora")</f>
        <v>@antoninomora</v>
      </c>
      <c r="C1754" s="8" t="s">
        <v>7004</v>
      </c>
      <c r="D1754" s="9" t="s">
        <v>7005</v>
      </c>
      <c r="E1754" s="10" t="str">
        <f>HYPERLINK("https://twitter.com/antoninomora/status/1070292665688821761","1070292665688821761")</f>
        <v>1070292665688821761</v>
      </c>
      <c r="F1754" s="11"/>
      <c r="G1754" s="11"/>
      <c r="H1754" s="11"/>
      <c r="I1754" s="14">
        <v>1</v>
      </c>
      <c r="J1754" s="14">
        <v>0</v>
      </c>
      <c r="K1754" s="15" t="str">
        <f>HYPERLINK("http://twitter.com/download/iphone","Twitter for iPhone")</f>
        <v>Twitter for iPhone</v>
      </c>
      <c r="L1754" s="14">
        <v>7305</v>
      </c>
      <c r="M1754" s="14">
        <v>460</v>
      </c>
      <c r="N1754" s="14">
        <v>165</v>
      </c>
      <c r="O1754" s="16"/>
      <c r="P1754" s="6">
        <v>40250.732951388891</v>
      </c>
      <c r="Q1754" s="12" t="s">
        <v>7006</v>
      </c>
      <c r="R1754" s="17" t="s">
        <v>7007</v>
      </c>
      <c r="S1754" s="13" t="s">
        <v>7008</v>
      </c>
      <c r="T1754" s="11"/>
      <c r="U1754" s="10" t="str">
        <f>HYPERLINK("https://pbs.twimg.com/profile_images/598591563061719040/MoJ5klZK.jpg","View")</f>
        <v>View</v>
      </c>
    </row>
    <row r="1755" spans="1:21" ht="51">
      <c r="A1755" s="6">
        <v>43439.558206018519</v>
      </c>
      <c r="B1755" s="7" t="str">
        <f>HYPERLINK("https://twitter.com/JuanantoGil","@JuanantoGil")</f>
        <v>@JuanantoGil</v>
      </c>
      <c r="C1755" s="8" t="s">
        <v>5767</v>
      </c>
      <c r="D1755" s="9" t="s">
        <v>5768</v>
      </c>
      <c r="E1755" s="10" t="str">
        <f>HYPERLINK("https://twitter.com/JuanantoGil/status/1070292659149987842","1070292659149987842")</f>
        <v>1070292659149987842</v>
      </c>
      <c r="F1755" s="11"/>
      <c r="G1755" s="11"/>
      <c r="H1755" s="11"/>
      <c r="I1755" s="14">
        <v>1</v>
      </c>
      <c r="J1755" s="14">
        <v>4</v>
      </c>
      <c r="K1755" s="15" t="str">
        <f t="shared" ref="K1755:K1757" si="347">HYPERLINK("http://twitter.com","Twitter Web Client")</f>
        <v>Twitter Web Client</v>
      </c>
      <c r="L1755" s="14">
        <v>1610</v>
      </c>
      <c r="M1755" s="14">
        <v>984</v>
      </c>
      <c r="N1755" s="14">
        <v>41</v>
      </c>
      <c r="O1755" s="16"/>
      <c r="P1755" s="6">
        <v>40068.051099537035</v>
      </c>
      <c r="Q1755" s="12" t="s">
        <v>5769</v>
      </c>
      <c r="R1755" s="17" t="s">
        <v>5770</v>
      </c>
      <c r="S1755" s="13" t="s">
        <v>5771</v>
      </c>
      <c r="T1755" s="11"/>
      <c r="U1755" s="10" t="str">
        <f>HYPERLINK("https://pbs.twimg.com/profile_images/1671267631/twitter.JPG","View")</f>
        <v>View</v>
      </c>
    </row>
    <row r="1756" spans="1:21" ht="91.8">
      <c r="A1756" s="6">
        <v>43439.557962962965</v>
      </c>
      <c r="B1756" s="7" t="str">
        <f>HYPERLINK("https://twitter.com/frelimpio","@frelimpio")</f>
        <v>@frelimpio</v>
      </c>
      <c r="C1756" s="8" t="s">
        <v>5725</v>
      </c>
      <c r="D1756" s="9" t="s">
        <v>5772</v>
      </c>
      <c r="E1756" s="10" t="str">
        <f>HYPERLINK("https://twitter.com/frelimpio/status/1070292570977255424","1070292570977255424")</f>
        <v>1070292570977255424</v>
      </c>
      <c r="F1756" s="12" t="s">
        <v>5773</v>
      </c>
      <c r="G1756" s="11"/>
      <c r="H1756" s="11"/>
      <c r="I1756" s="14">
        <v>0</v>
      </c>
      <c r="J1756" s="14">
        <v>1</v>
      </c>
      <c r="K1756" s="15" t="str">
        <f t="shared" si="347"/>
        <v>Twitter Web Client</v>
      </c>
      <c r="L1756" s="14">
        <v>3250</v>
      </c>
      <c r="M1756" s="14">
        <v>2740</v>
      </c>
      <c r="N1756" s="14">
        <v>113</v>
      </c>
      <c r="O1756" s="16"/>
      <c r="P1756" s="6">
        <v>40490.382824074077</v>
      </c>
      <c r="Q1756" s="12" t="s">
        <v>969</v>
      </c>
      <c r="R1756" s="17" t="s">
        <v>5730</v>
      </c>
      <c r="S1756" s="13" t="s">
        <v>5731</v>
      </c>
      <c r="T1756" s="11"/>
      <c r="U1756" s="10" t="str">
        <f>HYPERLINK("https://pbs.twimg.com/profile_images/1019290774108819458/wz1I2xwz.jpg","View")</f>
        <v>View</v>
      </c>
    </row>
    <row r="1757" spans="1:21" ht="40.799999999999997">
      <c r="A1757" s="6">
        <v>43439.557581018518</v>
      </c>
      <c r="B1757" s="7" t="str">
        <f>HYPERLINK("https://twitter.com/ikaitor","@ikaitor")</f>
        <v>@ikaitor</v>
      </c>
      <c r="C1757" s="8" t="s">
        <v>7021</v>
      </c>
      <c r="D1757" s="9" t="s">
        <v>7022</v>
      </c>
      <c r="E1757" s="10" t="str">
        <f>HYPERLINK("https://twitter.com/ikaitor/status/1070292430245773312","1070292430245773312")</f>
        <v>1070292430245773312</v>
      </c>
      <c r="F1757" s="11"/>
      <c r="G1757" s="11"/>
      <c r="H1757" s="11"/>
      <c r="I1757" s="14">
        <v>3</v>
      </c>
      <c r="J1757" s="14">
        <v>2</v>
      </c>
      <c r="K1757" s="15" t="str">
        <f t="shared" si="347"/>
        <v>Twitter Web Client</v>
      </c>
      <c r="L1757" s="14">
        <v>17212</v>
      </c>
      <c r="M1757" s="14">
        <v>1142</v>
      </c>
      <c r="N1757" s="14">
        <v>624</v>
      </c>
      <c r="O1757" s="16"/>
      <c r="P1757" s="6">
        <v>39813.739421296297</v>
      </c>
      <c r="Q1757" s="12" t="s">
        <v>29</v>
      </c>
      <c r="R1757" s="17" t="s">
        <v>7024</v>
      </c>
      <c r="S1757" s="13" t="s">
        <v>7025</v>
      </c>
      <c r="T1757" s="11"/>
      <c r="U1757" s="10" t="str">
        <f>HYPERLINK("https://pbs.twimg.com/profile_images/923654475360997377/_9yNRShJ.jpg","View")</f>
        <v>View</v>
      </c>
    </row>
    <row r="1758" spans="1:21" ht="30.6">
      <c r="A1758" s="6">
        <v>43439.557071759264</v>
      </c>
      <c r="B1758" s="7" t="str">
        <f>HYPERLINK("https://twitter.com/Nemesiswings","@Nemesiswings")</f>
        <v>@Nemesiswings</v>
      </c>
      <c r="C1758" s="8" t="s">
        <v>381</v>
      </c>
      <c r="D1758" s="9" t="s">
        <v>7026</v>
      </c>
      <c r="E1758" s="10" t="str">
        <f>HYPERLINK("https://twitter.com/Nemesiswings/status/1070292246250078208","1070292246250078208")</f>
        <v>1070292246250078208</v>
      </c>
      <c r="F1758" s="11"/>
      <c r="G1758" s="11"/>
      <c r="H1758" s="11"/>
      <c r="I1758" s="14">
        <v>1</v>
      </c>
      <c r="J1758" s="14">
        <v>0</v>
      </c>
      <c r="K1758" s="15" t="str">
        <f t="shared" ref="K1758:K1759" si="348">HYPERLINK("http://twitter.com/download/android","Twitter for Android")</f>
        <v>Twitter for Android</v>
      </c>
      <c r="L1758" s="14">
        <v>789</v>
      </c>
      <c r="M1758" s="14">
        <v>149</v>
      </c>
      <c r="N1758" s="14">
        <v>12</v>
      </c>
      <c r="O1758" s="16"/>
      <c r="P1758" s="6">
        <v>42024.499351851853</v>
      </c>
      <c r="Q1758" s="11"/>
      <c r="R1758" s="17" t="s">
        <v>384</v>
      </c>
      <c r="S1758" s="11"/>
      <c r="T1758" s="11"/>
      <c r="U1758" s="10" t="str">
        <f>HYPERLINK("https://pbs.twimg.com/profile_images/559451726944563200/6nQFi-CR.jpeg","View")</f>
        <v>View</v>
      </c>
    </row>
    <row r="1759" spans="1:21" ht="71.400000000000006">
      <c r="A1759" s="6">
        <v>43439.553645833337</v>
      </c>
      <c r="B1759" s="7" t="str">
        <f>HYPERLINK("https://twitter.com/MCarmenRiv74","@MCarmenRiv74")</f>
        <v>@MCarmenRiv74</v>
      </c>
      <c r="C1759" s="8" t="s">
        <v>6499</v>
      </c>
      <c r="D1759" s="9" t="s">
        <v>7031</v>
      </c>
      <c r="E1759" s="10" t="str">
        <f>HYPERLINK("https://twitter.com/MCarmenRiv74/status/1070291007332323328","1070291007332323328")</f>
        <v>1070291007332323328</v>
      </c>
      <c r="F1759" s="13" t="s">
        <v>7033</v>
      </c>
      <c r="G1759" s="11"/>
      <c r="H1759" s="11"/>
      <c r="I1759" s="14">
        <v>2</v>
      </c>
      <c r="J1759" s="14">
        <v>2</v>
      </c>
      <c r="K1759" s="15" t="str">
        <f t="shared" si="348"/>
        <v>Twitter for Android</v>
      </c>
      <c r="L1759" s="14">
        <v>15661</v>
      </c>
      <c r="M1759" s="14">
        <v>13805</v>
      </c>
      <c r="N1759" s="14">
        <v>93</v>
      </c>
      <c r="O1759" s="16"/>
      <c r="P1759" s="6">
        <v>41398.572731481479</v>
      </c>
      <c r="Q1759" s="11"/>
      <c r="R1759" s="17" t="s">
        <v>6502</v>
      </c>
      <c r="S1759" s="11"/>
      <c r="T1759" s="11"/>
      <c r="U1759" s="10" t="str">
        <f>HYPERLINK("https://pbs.twimg.com/profile_images/1062865623494131712/UmeE68Gq.jpg","View")</f>
        <v>View</v>
      </c>
    </row>
    <row r="1760" spans="1:21" ht="30.6">
      <c r="A1760" s="6">
        <v>43439.552187499998</v>
      </c>
      <c r="B1760" s="7" t="str">
        <f>HYPERLINK("https://twitter.com/CsValencia_C","@CsValencia_C")</f>
        <v>@CsValencia_C</v>
      </c>
      <c r="C1760" s="8" t="s">
        <v>5774</v>
      </c>
      <c r="D1760" s="9" t="s">
        <v>5775</v>
      </c>
      <c r="E1760" s="10" t="str">
        <f>HYPERLINK("https://twitter.com/CsValencia_C/status/1070290476807450624","1070290476807450624")</f>
        <v>1070290476807450624</v>
      </c>
      <c r="F1760" s="13" t="s">
        <v>3809</v>
      </c>
      <c r="G1760" s="11"/>
      <c r="H1760" s="11"/>
      <c r="I1760" s="14">
        <v>14</v>
      </c>
      <c r="J1760" s="14">
        <v>15</v>
      </c>
      <c r="K1760" s="15" t="str">
        <f>HYPERLINK("https://www.hootsuite.com","Hootsuite Inc.")</f>
        <v>Hootsuite Inc.</v>
      </c>
      <c r="L1760" s="14">
        <v>8384</v>
      </c>
      <c r="M1760" s="14">
        <v>2388</v>
      </c>
      <c r="N1760" s="14">
        <v>100</v>
      </c>
      <c r="O1760" s="19" t="s">
        <v>42</v>
      </c>
      <c r="P1760" s="6">
        <v>40852.030115740738</v>
      </c>
      <c r="Q1760" s="12" t="s">
        <v>1928</v>
      </c>
      <c r="R1760" s="17" t="s">
        <v>5777</v>
      </c>
      <c r="S1760" s="13" t="s">
        <v>5778</v>
      </c>
      <c r="T1760" s="11"/>
      <c r="U1760" s="10" t="str">
        <f>HYPERLINK("https://pbs.twimg.com/profile_images/1053534935540289536/VOC7JsP6.jpg","View")</f>
        <v>View</v>
      </c>
    </row>
    <row r="1761" spans="1:21" ht="40.799999999999997">
      <c r="A1761" s="6">
        <v>43439.551990740743</v>
      </c>
      <c r="B1761" s="7" t="str">
        <f>HYPERLINK("https://twitter.com/muniafj","@muniafj")</f>
        <v>@muniafj</v>
      </c>
      <c r="C1761" s="8" t="s">
        <v>7038</v>
      </c>
      <c r="D1761" s="9" t="s">
        <v>7039</v>
      </c>
      <c r="E1761" s="10" t="str">
        <f>HYPERLINK("https://twitter.com/muniafj/status/1070290407572078592","1070290407572078592")</f>
        <v>1070290407572078592</v>
      </c>
      <c r="F1761" s="13" t="s">
        <v>4189</v>
      </c>
      <c r="G1761" s="11"/>
      <c r="H1761" s="11"/>
      <c r="I1761" s="14">
        <v>2</v>
      </c>
      <c r="J1761" s="14">
        <v>2</v>
      </c>
      <c r="K1761" s="15" t="str">
        <f>HYPERLINK("http://twitter.com/download/android","Twitter for Android")</f>
        <v>Twitter for Android</v>
      </c>
      <c r="L1761" s="14">
        <v>1361</v>
      </c>
      <c r="M1761" s="14">
        <v>1331</v>
      </c>
      <c r="N1761" s="14">
        <v>26</v>
      </c>
      <c r="O1761" s="16"/>
      <c r="P1761" s="6">
        <v>41930.905543981484</v>
      </c>
      <c r="Q1761" s="12" t="s">
        <v>7040</v>
      </c>
      <c r="R1761" s="17" t="s">
        <v>7041</v>
      </c>
      <c r="S1761" s="13" t="s">
        <v>7042</v>
      </c>
      <c r="T1761" s="11"/>
      <c r="U1761" s="10" t="str">
        <f>HYPERLINK("https://pbs.twimg.com/profile_images/846465674385993732/mHyg_LIp.jpg","View")</f>
        <v>View</v>
      </c>
    </row>
    <row r="1762" spans="1:21" ht="40.799999999999997">
      <c r="A1762" s="6">
        <v>43439.548703703702</v>
      </c>
      <c r="B1762" s="7" t="str">
        <f>HYPERLINK("https://twitter.com/lextresabogados","@lextresabogados")</f>
        <v>@lextresabogados</v>
      </c>
      <c r="C1762" s="8" t="s">
        <v>26</v>
      </c>
      <c r="D1762" s="9" t="s">
        <v>7044</v>
      </c>
      <c r="E1762" s="10" t="str">
        <f>HYPERLINK("https://twitter.com/lextresabogados/status/1070289213868920837","1070289213868920837")</f>
        <v>1070289213868920837</v>
      </c>
      <c r="F1762" s="13" t="s">
        <v>3809</v>
      </c>
      <c r="G1762" s="11"/>
      <c r="H1762" s="11"/>
      <c r="I1762" s="14">
        <v>0</v>
      </c>
      <c r="J1762" s="14">
        <v>0</v>
      </c>
      <c r="K1762" s="15" t="str">
        <f>HYPERLINK("http://35.180.36.179","botize nueva")</f>
        <v>botize nueva</v>
      </c>
      <c r="L1762" s="14">
        <v>2912</v>
      </c>
      <c r="M1762" s="14">
        <v>3525</v>
      </c>
      <c r="N1762" s="14">
        <v>26</v>
      </c>
      <c r="O1762" s="16"/>
      <c r="P1762" s="6">
        <v>42880.770949074074</v>
      </c>
      <c r="Q1762" s="12" t="s">
        <v>35</v>
      </c>
      <c r="R1762" s="17" t="s">
        <v>36</v>
      </c>
      <c r="S1762" s="13" t="s">
        <v>37</v>
      </c>
      <c r="T1762" s="11"/>
      <c r="U1762" s="10" t="str">
        <f>HYPERLINK("https://pbs.twimg.com/profile_images/1068056978679898113/YnjKwiVy.jpg","View")</f>
        <v>View</v>
      </c>
    </row>
    <row r="1763" spans="1:21" ht="30.6">
      <c r="A1763" s="6">
        <v>43439.548634259263</v>
      </c>
      <c r="B1763" s="7" t="str">
        <f>HYPERLINK("https://twitter.com/Mois1984","@Mois1984")</f>
        <v>@Mois1984</v>
      </c>
      <c r="C1763" s="8" t="s">
        <v>5779</v>
      </c>
      <c r="D1763" s="9" t="s">
        <v>5780</v>
      </c>
      <c r="E1763" s="10" t="str">
        <f>HYPERLINK("https://twitter.com/Mois1984/status/1070289188183003137","1070289188183003137")</f>
        <v>1070289188183003137</v>
      </c>
      <c r="F1763" s="13" t="s">
        <v>5781</v>
      </c>
      <c r="G1763" s="11"/>
      <c r="H1763" s="11"/>
      <c r="I1763" s="14">
        <v>0</v>
      </c>
      <c r="J1763" s="14">
        <v>0</v>
      </c>
      <c r="K1763" s="15" t="str">
        <f>HYPERLINK("https://mobile.twitter.com","Twitter Lite")</f>
        <v>Twitter Lite</v>
      </c>
      <c r="L1763" s="14">
        <v>56</v>
      </c>
      <c r="M1763" s="14">
        <v>291</v>
      </c>
      <c r="N1763" s="14">
        <v>1</v>
      </c>
      <c r="O1763" s="16"/>
      <c r="P1763" s="6">
        <v>40573.807592592595</v>
      </c>
      <c r="Q1763" s="12" t="s">
        <v>581</v>
      </c>
      <c r="R1763" s="17" t="s">
        <v>5782</v>
      </c>
      <c r="S1763" s="11"/>
      <c r="T1763" s="11"/>
      <c r="U1763" s="10" t="str">
        <f>HYPERLINK("https://pbs.twimg.com/profile_images/962715073679626241/p2VKrwA9.jpg","View")</f>
        <v>View</v>
      </c>
    </row>
    <row r="1764" spans="1:21" ht="51">
      <c r="A1764" s="6">
        <v>43439.546296296292</v>
      </c>
      <c r="B1764" s="7" t="str">
        <f>HYPERLINK("https://twitter.com/juanjoband24","@juanjoband24")</f>
        <v>@juanjoband24</v>
      </c>
      <c r="C1764" s="8" t="s">
        <v>5783</v>
      </c>
      <c r="D1764" s="9" t="s">
        <v>5784</v>
      </c>
      <c r="E1764" s="10" t="str">
        <f>HYPERLINK("https://twitter.com/juanjoband24/status/1070288344549113856","1070288344549113856")</f>
        <v>1070288344549113856</v>
      </c>
      <c r="F1764" s="11"/>
      <c r="G1764" s="11"/>
      <c r="H1764" s="11"/>
      <c r="I1764" s="14">
        <v>17</v>
      </c>
      <c r="J1764" s="14">
        <v>11</v>
      </c>
      <c r="K1764" s="15" t="str">
        <f t="shared" ref="K1764:K1766" si="349">HYPERLINK("http://twitter.com/download/android","Twitter for Android")</f>
        <v>Twitter for Android</v>
      </c>
      <c r="L1764" s="14">
        <v>2130</v>
      </c>
      <c r="M1764" s="14">
        <v>992</v>
      </c>
      <c r="N1764" s="14">
        <v>13</v>
      </c>
      <c r="O1764" s="16"/>
      <c r="P1764" s="6">
        <v>40844.696689814817</v>
      </c>
      <c r="Q1764" s="12" t="s">
        <v>5785</v>
      </c>
      <c r="R1764" s="27" t="s">
        <v>5786</v>
      </c>
      <c r="S1764" s="11"/>
      <c r="T1764" s="11"/>
      <c r="U1764" s="10" t="str">
        <f>HYPERLINK("https://pbs.twimg.com/profile_images/1031236136675491840/ZxteYaNT.jpg","View")</f>
        <v>View</v>
      </c>
    </row>
    <row r="1765" spans="1:21" ht="51">
      <c r="A1765" s="6">
        <v>43439.545011574075</v>
      </c>
      <c r="B1765" s="7" t="str">
        <f>HYPERLINK("https://twitter.com/viejolobo1965","@viejolobo1965")</f>
        <v>@viejolobo1965</v>
      </c>
      <c r="C1765" s="8" t="s">
        <v>7052</v>
      </c>
      <c r="D1765" s="9" t="s">
        <v>7053</v>
      </c>
      <c r="E1765" s="10" t="str">
        <f>HYPERLINK("https://twitter.com/viejolobo1965/status/1070287877056094214","1070287877056094214")</f>
        <v>1070287877056094214</v>
      </c>
      <c r="F1765" s="12" t="s">
        <v>2194</v>
      </c>
      <c r="G1765" s="11"/>
      <c r="H1765" s="11"/>
      <c r="I1765" s="14">
        <v>0</v>
      </c>
      <c r="J1765" s="14">
        <v>0</v>
      </c>
      <c r="K1765" s="15" t="str">
        <f t="shared" si="349"/>
        <v>Twitter for Android</v>
      </c>
      <c r="L1765" s="14">
        <v>111</v>
      </c>
      <c r="M1765" s="14">
        <v>102</v>
      </c>
      <c r="N1765" s="14">
        <v>1</v>
      </c>
      <c r="O1765" s="16"/>
      <c r="P1765" s="6">
        <v>40946.810011574074</v>
      </c>
      <c r="Q1765" s="12" t="s">
        <v>7054</v>
      </c>
      <c r="R1765" s="17" t="s">
        <v>7055</v>
      </c>
      <c r="S1765" s="11"/>
      <c r="T1765" s="11"/>
      <c r="U1765" s="10" t="str">
        <f>HYPERLINK("https://pbs.twimg.com/profile_images/1875153954/375775_1919858295864_1824268294_1286236_830190511_n_2_.jpg","View")</f>
        <v>View</v>
      </c>
    </row>
    <row r="1766" spans="1:21" ht="51">
      <c r="A1766" s="6">
        <v>43439.542141203703</v>
      </c>
      <c r="B1766" s="7" t="str">
        <f>HYPERLINK("https://twitter.com/compromtido22","@compromtido22")</f>
        <v>@compromtido22</v>
      </c>
      <c r="C1766" s="8" t="s">
        <v>7058</v>
      </c>
      <c r="D1766" s="9" t="s">
        <v>7059</v>
      </c>
      <c r="E1766" s="10" t="str">
        <f>HYPERLINK("https://twitter.com/compromtido22/status/1070286838642995201","1070286838642995201")</f>
        <v>1070286838642995201</v>
      </c>
      <c r="F1766" s="11"/>
      <c r="G1766" s="11"/>
      <c r="H1766" s="11"/>
      <c r="I1766" s="14">
        <v>0</v>
      </c>
      <c r="J1766" s="14">
        <v>0</v>
      </c>
      <c r="K1766" s="15" t="str">
        <f t="shared" si="349"/>
        <v>Twitter for Android</v>
      </c>
      <c r="L1766" s="14">
        <v>955</v>
      </c>
      <c r="M1766" s="14">
        <v>858</v>
      </c>
      <c r="N1766" s="14">
        <v>15</v>
      </c>
      <c r="O1766" s="16"/>
      <c r="P1766" s="6">
        <v>42411.832291666666</v>
      </c>
      <c r="Q1766" s="11"/>
      <c r="R1766" s="17" t="s">
        <v>7061</v>
      </c>
      <c r="S1766" s="11"/>
      <c r="T1766" s="11"/>
      <c r="U1766" s="10" t="str">
        <f>HYPERLINK("https://pbs.twimg.com/profile_images/1062806370267860993/RfSkyzB-.jpg","View")</f>
        <v>View</v>
      </c>
    </row>
    <row r="1767" spans="1:21" ht="30.6">
      <c r="A1767" s="6">
        <v>43439.541979166665</v>
      </c>
      <c r="B1767" s="7" t="str">
        <f>HYPERLINK("https://twitter.com/CSurNoticias","@CSurNoticias")</f>
        <v>@CSurNoticias</v>
      </c>
      <c r="C1767" s="8" t="s">
        <v>5789</v>
      </c>
      <c r="D1767" s="9" t="s">
        <v>5790</v>
      </c>
      <c r="E1767" s="10" t="str">
        <f>HYPERLINK("https://twitter.com/CSurNoticias/status/1070286776563044353","1070286776563044353")</f>
        <v>1070286776563044353</v>
      </c>
      <c r="F1767" s="13" t="s">
        <v>5791</v>
      </c>
      <c r="G1767" s="13" t="s">
        <v>5792</v>
      </c>
      <c r="H1767" s="11"/>
      <c r="I1767" s="14">
        <v>0</v>
      </c>
      <c r="J1767" s="14">
        <v>0</v>
      </c>
      <c r="K1767" s="15" t="str">
        <f>HYPERLINK("https://www.hootsuite.com","Hootsuite Inc.")</f>
        <v>Hootsuite Inc.</v>
      </c>
      <c r="L1767" s="14">
        <v>53215</v>
      </c>
      <c r="M1767" s="14">
        <v>232</v>
      </c>
      <c r="N1767" s="14">
        <v>890</v>
      </c>
      <c r="O1767" s="19" t="s">
        <v>42</v>
      </c>
      <c r="P1767" s="6">
        <v>39931.566990740743</v>
      </c>
      <c r="Q1767" s="12" t="s">
        <v>231</v>
      </c>
      <c r="R1767" s="17" t="s">
        <v>5794</v>
      </c>
      <c r="S1767" s="13" t="s">
        <v>5795</v>
      </c>
      <c r="T1767" s="11"/>
      <c r="U1767" s="10" t="str">
        <f>HYPERLINK("https://pbs.twimg.com/profile_images/1040565829119696896/5IRki3sL.jpg","View")</f>
        <v>View</v>
      </c>
    </row>
    <row r="1768" spans="1:21" ht="30.6">
      <c r="A1768" s="6">
        <v>43439.541261574079</v>
      </c>
      <c r="B1768" s="7" t="str">
        <f>HYPERLINK("https://twitter.com/cul1975","@cul1975")</f>
        <v>@cul1975</v>
      </c>
      <c r="C1768" s="8" t="s">
        <v>5798</v>
      </c>
      <c r="D1768" s="9" t="s">
        <v>5800</v>
      </c>
      <c r="E1768" s="10" t="str">
        <f>HYPERLINK("https://twitter.com/cul1975/status/1070286517921304577","1070286517921304577")</f>
        <v>1070286517921304577</v>
      </c>
      <c r="F1768" s="13" t="s">
        <v>5801</v>
      </c>
      <c r="G1768" s="11"/>
      <c r="H1768" s="11"/>
      <c r="I1768" s="14">
        <v>0</v>
      </c>
      <c r="J1768" s="14">
        <v>0</v>
      </c>
      <c r="K1768" s="15" t="str">
        <f>HYPERLINK("http://twitter.com/download/android","Twitter for Android")</f>
        <v>Twitter for Android</v>
      </c>
      <c r="L1768" s="14">
        <v>58</v>
      </c>
      <c r="M1768" s="14">
        <v>115</v>
      </c>
      <c r="N1768" s="14">
        <v>2</v>
      </c>
      <c r="O1768" s="16"/>
      <c r="P1768" s="6">
        <v>40592.99722222222</v>
      </c>
      <c r="Q1768" s="12" t="s">
        <v>5696</v>
      </c>
      <c r="R1768" s="18"/>
      <c r="S1768" s="11"/>
      <c r="T1768" s="11"/>
      <c r="U1768" s="10" t="str">
        <f>HYPERLINK("https://pbs.twimg.com/profile_images/2953832466/96ff1d0be54f90a8797a634774c94af3.jpeg","View")</f>
        <v>View</v>
      </c>
    </row>
    <row r="1769" spans="1:21" ht="40.799999999999997">
      <c r="A1769" s="6">
        <v>43439.538217592592</v>
      </c>
      <c r="B1769" s="7" t="str">
        <f>HYPERLINK("https://twitter.com/celiaubeda","@celiaubeda")</f>
        <v>@celiaubeda</v>
      </c>
      <c r="C1769" s="8" t="s">
        <v>7069</v>
      </c>
      <c r="D1769" s="9" t="s">
        <v>2347</v>
      </c>
      <c r="E1769" s="10" t="str">
        <f>HYPERLINK("https://twitter.com/celiaubeda/status/1070285413271638016","1070285413271638016")</f>
        <v>1070285413271638016</v>
      </c>
      <c r="F1769" s="13" t="s">
        <v>2349</v>
      </c>
      <c r="G1769" s="11"/>
      <c r="H1769" s="11"/>
      <c r="I1769" s="14">
        <v>0</v>
      </c>
      <c r="J1769" s="14">
        <v>0</v>
      </c>
      <c r="K1769" s="15" t="str">
        <f>HYPERLINK("http://twitter.com/download/iphone","Twitter for iPhone")</f>
        <v>Twitter for iPhone</v>
      </c>
      <c r="L1769" s="14">
        <v>304</v>
      </c>
      <c r="M1769" s="14">
        <v>954</v>
      </c>
      <c r="N1769" s="14">
        <v>2</v>
      </c>
      <c r="O1769" s="16"/>
      <c r="P1769" s="6">
        <v>40350.536006944443</v>
      </c>
      <c r="Q1769" s="12" t="s">
        <v>7070</v>
      </c>
      <c r="R1769" s="17" t="s">
        <v>7071</v>
      </c>
      <c r="S1769" s="11"/>
      <c r="T1769" s="11"/>
      <c r="U1769" s="10" t="str">
        <f>HYPERLINK("https://pbs.twimg.com/profile_images/970274085598089217/9k6ts78k.jpg","View")</f>
        <v>View</v>
      </c>
    </row>
    <row r="1770" spans="1:21" ht="30.6">
      <c r="A1770" s="6">
        <v>43439.53638888889</v>
      </c>
      <c r="B1770" s="7" t="str">
        <f>HYPERLINK("https://twitter.com/QUELCUTTI","@QUELCUTTI")</f>
        <v>@QUELCUTTI</v>
      </c>
      <c r="C1770" s="8" t="s">
        <v>2891</v>
      </c>
      <c r="D1770" s="9" t="s">
        <v>2347</v>
      </c>
      <c r="E1770" s="10" t="str">
        <f>HYPERLINK("https://twitter.com/QUELCUTTI/status/1070284752127709184","1070284752127709184")</f>
        <v>1070284752127709184</v>
      </c>
      <c r="F1770" s="13" t="s">
        <v>2349</v>
      </c>
      <c r="G1770" s="11"/>
      <c r="H1770" s="11"/>
      <c r="I1770" s="14">
        <v>0</v>
      </c>
      <c r="J1770" s="14">
        <v>1</v>
      </c>
      <c r="K1770" s="15" t="str">
        <f>HYPERLINK("http://twitter.com","Twitter Web Client")</f>
        <v>Twitter Web Client</v>
      </c>
      <c r="L1770" s="14">
        <v>1734</v>
      </c>
      <c r="M1770" s="14">
        <v>1221</v>
      </c>
      <c r="N1770" s="14">
        <v>44</v>
      </c>
      <c r="O1770" s="16"/>
      <c r="P1770" s="6">
        <v>40303.188287037039</v>
      </c>
      <c r="Q1770" s="12" t="s">
        <v>2892</v>
      </c>
      <c r="R1770" s="17" t="s">
        <v>2893</v>
      </c>
      <c r="S1770" s="13" t="s">
        <v>2894</v>
      </c>
      <c r="T1770" s="11"/>
      <c r="U1770" s="10" t="str">
        <f>HYPERLINK("https://pbs.twimg.com/profile_images/1042908362696998915/9xBc3bSz.jpg","View")</f>
        <v>View</v>
      </c>
    </row>
    <row r="1771" spans="1:21" ht="51">
      <c r="A1771" s="6">
        <v>43439.533935185187</v>
      </c>
      <c r="B1771" s="7" t="str">
        <f>HYPERLINK("https://twitter.com/Tabera42","@Tabera42")</f>
        <v>@Tabera42</v>
      </c>
      <c r="C1771" s="8" t="s">
        <v>7075</v>
      </c>
      <c r="D1771" s="9" t="s">
        <v>7076</v>
      </c>
      <c r="E1771" s="10" t="str">
        <f>HYPERLINK("https://twitter.com/Tabera42/status/1070283862528397313","1070283862528397313")</f>
        <v>1070283862528397313</v>
      </c>
      <c r="F1771" s="11"/>
      <c r="G1771" s="11"/>
      <c r="H1771" s="11"/>
      <c r="I1771" s="14">
        <v>1</v>
      </c>
      <c r="J1771" s="14">
        <v>0</v>
      </c>
      <c r="K1771" s="15" t="str">
        <f>HYPERLINK("http://twitter.com/download/android","Twitter for Android")</f>
        <v>Twitter for Android</v>
      </c>
      <c r="L1771" s="14">
        <v>819</v>
      </c>
      <c r="M1771" s="14">
        <v>1065</v>
      </c>
      <c r="N1771" s="14">
        <v>1</v>
      </c>
      <c r="O1771" s="16"/>
      <c r="P1771" s="6">
        <v>43016.660902777774</v>
      </c>
      <c r="Q1771" s="12" t="s">
        <v>7077</v>
      </c>
      <c r="R1771" s="18"/>
      <c r="S1771" s="11"/>
      <c r="T1771" s="11"/>
      <c r="U1771" s="10" t="str">
        <f>HYPERLINK("https://pbs.twimg.com/profile_images/926579701719683073/Phmkfcyh.jpg","View")</f>
        <v>View</v>
      </c>
    </row>
    <row r="1772" spans="1:21" ht="51">
      <c r="A1772" s="6">
        <v>43439.533460648148</v>
      </c>
      <c r="B1772" s="7" t="str">
        <f>HYPERLINK("https://twitter.com/pistoto2017","@pistoto2017")</f>
        <v>@pistoto2017</v>
      </c>
      <c r="C1772" s="8" t="s">
        <v>5804</v>
      </c>
      <c r="D1772" s="9" t="s">
        <v>5805</v>
      </c>
      <c r="E1772" s="10" t="str">
        <f>HYPERLINK("https://twitter.com/pistoto2017/status/1070283691530825728","1070283691530825728")</f>
        <v>1070283691530825728</v>
      </c>
      <c r="F1772" s="11"/>
      <c r="G1772" s="11"/>
      <c r="H1772" s="11"/>
      <c r="I1772" s="14">
        <v>0</v>
      </c>
      <c r="J1772" s="14">
        <v>1</v>
      </c>
      <c r="K1772" s="15" t="str">
        <f t="shared" ref="K1772:K1773" si="350">HYPERLINK("http://twitter.com/download/iphone","Twitter for iPhone")</f>
        <v>Twitter for iPhone</v>
      </c>
      <c r="L1772" s="14">
        <v>480</v>
      </c>
      <c r="M1772" s="14">
        <v>540</v>
      </c>
      <c r="N1772" s="14">
        <v>2</v>
      </c>
      <c r="O1772" s="16"/>
      <c r="P1772" s="6">
        <v>40311.500856481478</v>
      </c>
      <c r="Q1772" s="12" t="s">
        <v>137</v>
      </c>
      <c r="R1772" s="17" t="s">
        <v>5808</v>
      </c>
      <c r="S1772" s="11"/>
      <c r="T1772" s="11"/>
      <c r="U1772" s="10" t="str">
        <f>HYPERLINK("https://pbs.twimg.com/profile_images/621597722689339392/hC4ik2zK.jpg","View")</f>
        <v>View</v>
      </c>
    </row>
    <row r="1773" spans="1:21" ht="51">
      <c r="A1773" s="6">
        <v>43439.53325231481</v>
      </c>
      <c r="B1773" s="7" t="str">
        <f>HYPERLINK("https://twitter.com/ISpnola","@ISpnola")</f>
        <v>@ISpnola</v>
      </c>
      <c r="C1773" s="8" t="s">
        <v>7081</v>
      </c>
      <c r="D1773" s="9" t="s">
        <v>7082</v>
      </c>
      <c r="E1773" s="10" t="str">
        <f>HYPERLINK("https://twitter.com/ISpnola/status/1070283615152545792","1070283615152545792")</f>
        <v>1070283615152545792</v>
      </c>
      <c r="F1773" s="13" t="s">
        <v>2349</v>
      </c>
      <c r="G1773" s="11"/>
      <c r="H1773" s="11"/>
      <c r="I1773" s="14">
        <v>0</v>
      </c>
      <c r="J1773" s="14">
        <v>0</v>
      </c>
      <c r="K1773" s="15" t="str">
        <f t="shared" si="350"/>
        <v>Twitter for iPhone</v>
      </c>
      <c r="L1773" s="14">
        <v>395</v>
      </c>
      <c r="M1773" s="14">
        <v>586</v>
      </c>
      <c r="N1773" s="14">
        <v>0</v>
      </c>
      <c r="O1773" s="16"/>
      <c r="P1773" s="6">
        <v>41471.837453703702</v>
      </c>
      <c r="Q1773" s="12" t="s">
        <v>7083</v>
      </c>
      <c r="R1773" s="17" t="s">
        <v>7084</v>
      </c>
      <c r="S1773" s="11"/>
      <c r="T1773" s="11"/>
      <c r="U1773" s="10" t="str">
        <f>HYPERLINK("https://pbs.twimg.com/profile_images/948631205066440709/MNCCCiwU.jpg","View")</f>
        <v>View</v>
      </c>
    </row>
    <row r="1774" spans="1:21" ht="40.799999999999997">
      <c r="A1774" s="6">
        <v>43439.532812500001</v>
      </c>
      <c r="B1774" s="7" t="str">
        <f>HYPERLINK("https://twitter.com/carlesalberch","@carlesalberch")</f>
        <v>@carlesalberch</v>
      </c>
      <c r="C1774" s="21" t="s">
        <v>5809</v>
      </c>
      <c r="D1774" s="9" t="s">
        <v>5810</v>
      </c>
      <c r="E1774" s="10" t="str">
        <f>HYPERLINK("https://twitter.com/carlesalberch/status/1070283458168131584","1070283458168131584")</f>
        <v>1070283458168131584</v>
      </c>
      <c r="F1774" s="13" t="s">
        <v>5812</v>
      </c>
      <c r="G1774" s="11"/>
      <c r="H1774" s="11"/>
      <c r="I1774" s="14">
        <v>1</v>
      </c>
      <c r="J1774" s="14">
        <v>0</v>
      </c>
      <c r="K1774" s="15" t="str">
        <f>HYPERLINK("http://twitter.com/download/android","Twitter for Android")</f>
        <v>Twitter for Android</v>
      </c>
      <c r="L1774" s="14">
        <v>659</v>
      </c>
      <c r="M1774" s="14">
        <v>307</v>
      </c>
      <c r="N1774" s="14">
        <v>11</v>
      </c>
      <c r="O1774" s="16"/>
      <c r="P1774" s="6">
        <v>40484.685914351852</v>
      </c>
      <c r="Q1774" s="12" t="s">
        <v>5815</v>
      </c>
      <c r="R1774" s="17" t="s">
        <v>5816</v>
      </c>
      <c r="S1774" s="13" t="s">
        <v>5817</v>
      </c>
      <c r="T1774" s="11"/>
      <c r="U1774" s="10" t="str">
        <f>HYPERLINK("https://pbs.twimg.com/profile_images/858267268299583489/J1-8gfC2.jpg","View")</f>
        <v>View</v>
      </c>
    </row>
    <row r="1775" spans="1:21" ht="40.799999999999997">
      <c r="A1775" s="6">
        <v>43439.52815972222</v>
      </c>
      <c r="B1775" s="7" t="str">
        <f>HYPERLINK("https://twitter.com/AlfredoTabarnia","@AlfredoTabarnia")</f>
        <v>@AlfredoTabarnia</v>
      </c>
      <c r="C1775" s="8" t="s">
        <v>5820</v>
      </c>
      <c r="D1775" s="9" t="s">
        <v>5821</v>
      </c>
      <c r="E1775" s="10" t="str">
        <f>HYPERLINK("https://twitter.com/AlfredoTabarnia/status/1070281771172986881","1070281771172986881")</f>
        <v>1070281771172986881</v>
      </c>
      <c r="F1775" s="11"/>
      <c r="G1775" s="11"/>
      <c r="H1775" s="11"/>
      <c r="I1775" s="14">
        <v>0</v>
      </c>
      <c r="J1775" s="14">
        <v>2</v>
      </c>
      <c r="K1775" s="15" t="str">
        <f>HYPERLINK("http://twitter.com/#!/download/ipad","Twitter for iPad")</f>
        <v>Twitter for iPad</v>
      </c>
      <c r="L1775" s="14">
        <v>405</v>
      </c>
      <c r="M1775" s="14">
        <v>1548</v>
      </c>
      <c r="N1775" s="14">
        <v>0</v>
      </c>
      <c r="O1775" s="16"/>
      <c r="P1775" s="6">
        <v>43354.623657407406</v>
      </c>
      <c r="Q1775" s="12" t="s">
        <v>5826</v>
      </c>
      <c r="R1775" s="17" t="s">
        <v>5827</v>
      </c>
      <c r="S1775" s="11"/>
      <c r="T1775" s="11"/>
      <c r="U1775" s="10" t="str">
        <f>HYPERLINK("https://pbs.twimg.com/profile_images/1070016727096942592/LMrytyzk.jpg","View")</f>
        <v>View</v>
      </c>
    </row>
    <row r="1776" spans="1:21" ht="40.799999999999997">
      <c r="A1776" s="6">
        <v>43439.527604166666</v>
      </c>
      <c r="B1776" s="7" t="str">
        <f>HYPERLINK("https://twitter.com/laury_rod","@laury_rod")</f>
        <v>@laury_rod</v>
      </c>
      <c r="C1776" s="8" t="s">
        <v>7092</v>
      </c>
      <c r="D1776" s="9" t="s">
        <v>2347</v>
      </c>
      <c r="E1776" s="10" t="str">
        <f>HYPERLINK("https://twitter.com/laury_rod/status/1070281568479002624","1070281568479002624")</f>
        <v>1070281568479002624</v>
      </c>
      <c r="F1776" s="13" t="s">
        <v>2902</v>
      </c>
      <c r="G1776" s="11"/>
      <c r="H1776" s="11"/>
      <c r="I1776" s="14">
        <v>0</v>
      </c>
      <c r="J1776" s="14">
        <v>0</v>
      </c>
      <c r="K1776" s="15" t="str">
        <f t="shared" ref="K1776:K1777" si="351">HYPERLINK("http://twitter.com","Twitter Web Client")</f>
        <v>Twitter Web Client</v>
      </c>
      <c r="L1776" s="14">
        <v>2276</v>
      </c>
      <c r="M1776" s="14">
        <v>2346</v>
      </c>
      <c r="N1776" s="14">
        <v>23</v>
      </c>
      <c r="O1776" s="16"/>
      <c r="P1776" s="6">
        <v>41414.614699074074</v>
      </c>
      <c r="Q1776" s="12" t="s">
        <v>7095</v>
      </c>
      <c r="R1776" s="17" t="s">
        <v>7096</v>
      </c>
      <c r="S1776" s="13" t="s">
        <v>7097</v>
      </c>
      <c r="T1776" s="11"/>
      <c r="U1776" s="10" t="str">
        <f>HYPERLINK("https://pbs.twimg.com/profile_images/515101375521243136/ilI9BBCU.png","View")</f>
        <v>View</v>
      </c>
    </row>
    <row r="1777" spans="1:21" ht="51">
      <c r="A1777" s="6">
        <v>43439.527303240742</v>
      </c>
      <c r="B1777" s="7" t="str">
        <f>HYPERLINK("https://twitter.com/HidalgoDePucela","@HidalgoDePucela")</f>
        <v>@HidalgoDePucela</v>
      </c>
      <c r="C1777" s="8" t="s">
        <v>5828</v>
      </c>
      <c r="D1777" s="9" t="s">
        <v>5829</v>
      </c>
      <c r="E1777" s="10" t="str">
        <f>HYPERLINK("https://twitter.com/HidalgoDePucela/status/1070281461037699073","1070281461037699073")</f>
        <v>1070281461037699073</v>
      </c>
      <c r="F1777" s="13" t="s">
        <v>3809</v>
      </c>
      <c r="G1777" s="11"/>
      <c r="H1777" s="11"/>
      <c r="I1777" s="14">
        <v>0</v>
      </c>
      <c r="J1777" s="14">
        <v>1</v>
      </c>
      <c r="K1777" s="15" t="str">
        <f t="shared" si="351"/>
        <v>Twitter Web Client</v>
      </c>
      <c r="L1777" s="14">
        <v>2856</v>
      </c>
      <c r="M1777" s="14">
        <v>2805</v>
      </c>
      <c r="N1777" s="14">
        <v>115</v>
      </c>
      <c r="O1777" s="16"/>
      <c r="P1777" s="6">
        <v>41377.774178240739</v>
      </c>
      <c r="Q1777" s="12" t="s">
        <v>5830</v>
      </c>
      <c r="R1777" s="17" t="s">
        <v>5831</v>
      </c>
      <c r="S1777" s="11"/>
      <c r="T1777" s="11"/>
      <c r="U1777" s="10" t="str">
        <f>HYPERLINK("https://pbs.twimg.com/profile_images/997801234412302336/OKy6YZHU.jpg","View")</f>
        <v>View</v>
      </c>
    </row>
    <row r="1778" spans="1:21" ht="30.6">
      <c r="A1778" s="6">
        <v>43439.519930555558</v>
      </c>
      <c r="B1778" s="7" t="str">
        <f>HYPERLINK("https://twitter.com/Julianvl","@Julianvl")</f>
        <v>@Julianvl</v>
      </c>
      <c r="C1778" s="8" t="s">
        <v>7104</v>
      </c>
      <c r="D1778" s="9" t="s">
        <v>7105</v>
      </c>
      <c r="E1778" s="10" t="str">
        <f>HYPERLINK("https://twitter.com/Julianvl/status/1070278788003651584","1070278788003651584")</f>
        <v>1070278788003651584</v>
      </c>
      <c r="F1778" s="13" t="s">
        <v>7107</v>
      </c>
      <c r="G1778" s="11"/>
      <c r="H1778" s="11"/>
      <c r="I1778" s="14">
        <v>0</v>
      </c>
      <c r="J1778" s="14">
        <v>0</v>
      </c>
      <c r="K1778" s="15" t="str">
        <f>HYPERLINK("http://twitter.com/download/iphone","Twitter for iPhone")</f>
        <v>Twitter for iPhone</v>
      </c>
      <c r="L1778" s="14">
        <v>408</v>
      </c>
      <c r="M1778" s="14">
        <v>336</v>
      </c>
      <c r="N1778" s="14">
        <v>9</v>
      </c>
      <c r="O1778" s="16"/>
      <c r="P1778" s="6">
        <v>40076.81795138889</v>
      </c>
      <c r="Q1778" s="12" t="s">
        <v>1785</v>
      </c>
      <c r="R1778" s="17" t="s">
        <v>7109</v>
      </c>
      <c r="S1778" s="11"/>
      <c r="T1778" s="11"/>
      <c r="U1778" s="10" t="str">
        <f>HYPERLINK("https://pbs.twimg.com/profile_images/2923781450/ba547cdc3bd90d4ce7895a4004472d8c.jpeg","View")</f>
        <v>View</v>
      </c>
    </row>
    <row r="1779" spans="1:21" ht="20.399999999999999">
      <c r="A1779" s="6">
        <v>43439.518101851849</v>
      </c>
      <c r="B1779" s="7" t="str">
        <f>HYPERLINK("https://twitter.com/Conlafuerzadet1","@Conlafuerzadet1")</f>
        <v>@Conlafuerzadet1</v>
      </c>
      <c r="C1779" s="8" t="s">
        <v>7110</v>
      </c>
      <c r="D1779" s="9" t="s">
        <v>7111</v>
      </c>
      <c r="E1779" s="10" t="str">
        <f>HYPERLINK("https://twitter.com/Conlafuerzadet1/status/1070278125253218304","1070278125253218304")</f>
        <v>1070278125253218304</v>
      </c>
      <c r="F1779" s="13" t="s">
        <v>7114</v>
      </c>
      <c r="G1779" s="11"/>
      <c r="H1779" s="11"/>
      <c r="I1779" s="14">
        <v>0</v>
      </c>
      <c r="J1779" s="14">
        <v>0</v>
      </c>
      <c r="K1779" s="15" t="str">
        <f t="shared" ref="K1779:K1780" si="352">HYPERLINK("http://twitter.com","Twitter Web Client")</f>
        <v>Twitter Web Client</v>
      </c>
      <c r="L1779" s="14">
        <v>191</v>
      </c>
      <c r="M1779" s="14">
        <v>833</v>
      </c>
      <c r="N1779" s="14">
        <v>1</v>
      </c>
      <c r="O1779" s="16"/>
      <c r="P1779" s="6">
        <v>43401.629641203705</v>
      </c>
      <c r="Q1779" s="11"/>
      <c r="R1779" s="17" t="s">
        <v>7115</v>
      </c>
      <c r="S1779" s="11"/>
      <c r="T1779" s="11"/>
      <c r="U1779" s="10" t="str">
        <f>HYPERLINK("https://pbs.twimg.com/profile_images/1056551377281957890/UHid_ijG.jpg","View")</f>
        <v>View</v>
      </c>
    </row>
    <row r="1780" spans="1:21" ht="51">
      <c r="A1780" s="6">
        <v>43439.517800925925</v>
      </c>
      <c r="B1780" s="7" t="str">
        <f>HYPERLINK("https://twitter.com/fede_duran","@fede_duran")</f>
        <v>@fede_duran</v>
      </c>
      <c r="C1780" s="8" t="s">
        <v>5832</v>
      </c>
      <c r="D1780" s="9" t="s">
        <v>5833</v>
      </c>
      <c r="E1780" s="10" t="str">
        <f>HYPERLINK("https://twitter.com/fede_duran/status/1070278015098081284","1070278015098081284")</f>
        <v>1070278015098081284</v>
      </c>
      <c r="F1780" s="11"/>
      <c r="G1780" s="11"/>
      <c r="H1780" s="11"/>
      <c r="I1780" s="14">
        <v>0</v>
      </c>
      <c r="J1780" s="14">
        <v>0</v>
      </c>
      <c r="K1780" s="15" t="str">
        <f t="shared" si="352"/>
        <v>Twitter Web Client</v>
      </c>
      <c r="L1780" s="14">
        <v>1021</v>
      </c>
      <c r="M1780" s="14">
        <v>556</v>
      </c>
      <c r="N1780" s="14">
        <v>72</v>
      </c>
      <c r="O1780" s="16"/>
      <c r="P1780" s="6">
        <v>40484.419629629629</v>
      </c>
      <c r="Q1780" s="11"/>
      <c r="R1780" s="17" t="s">
        <v>5834</v>
      </c>
      <c r="S1780" s="13" t="s">
        <v>5835</v>
      </c>
      <c r="T1780" s="11"/>
      <c r="U1780" s="10" t="str">
        <f>HYPERLINK("https://pbs.twimg.com/profile_images/1001417875029151744/ScYp5wfd.jpg","View")</f>
        <v>View</v>
      </c>
    </row>
    <row r="1781" spans="1:21" ht="40.799999999999997">
      <c r="A1781" s="6">
        <v>43439.517696759256</v>
      </c>
      <c r="B1781" s="7" t="str">
        <f>HYPERLINK("https://twitter.com/Albert_Rivera","@Albert_Rivera")</f>
        <v>@Albert_Rivera</v>
      </c>
      <c r="C1781" s="8" t="s">
        <v>443</v>
      </c>
      <c r="D1781" s="9" t="s">
        <v>7120</v>
      </c>
      <c r="E1781" s="10" t="str">
        <f>HYPERLINK("https://twitter.com/Albert_Rivera/status/1070277976313524224","1070277976313524224")</f>
        <v>1070277976313524224</v>
      </c>
      <c r="F1781" s="11"/>
      <c r="G1781" s="13" t="s">
        <v>5053</v>
      </c>
      <c r="H1781" s="11"/>
      <c r="I1781" s="14">
        <v>328</v>
      </c>
      <c r="J1781" s="14">
        <v>839</v>
      </c>
      <c r="K1781" s="15" t="str">
        <f>HYPERLINK("http://twitter.com/download/iphone","Twitter for iPhone")</f>
        <v>Twitter for iPhone</v>
      </c>
      <c r="L1781" s="14">
        <v>1075808</v>
      </c>
      <c r="M1781" s="14">
        <v>2547</v>
      </c>
      <c r="N1781" s="14">
        <v>5114</v>
      </c>
      <c r="O1781" s="19" t="s">
        <v>42</v>
      </c>
      <c r="P1781" s="6">
        <v>40205.748171296298</v>
      </c>
      <c r="Q1781" s="12" t="s">
        <v>137</v>
      </c>
      <c r="R1781" s="17" t="s">
        <v>450</v>
      </c>
      <c r="S1781" s="13" t="s">
        <v>452</v>
      </c>
      <c r="T1781" s="11"/>
      <c r="U1781" s="10" t="str">
        <f>HYPERLINK("https://pbs.twimg.com/profile_images/1030708936779988993/RncDM4EZ.jpg","View")</f>
        <v>View</v>
      </c>
    </row>
    <row r="1782" spans="1:21" ht="20.399999999999999">
      <c r="A1782" s="6">
        <v>43439.516469907408</v>
      </c>
      <c r="B1782" s="7" t="str">
        <f>HYPERLINK("https://twitter.com/PBMarbeMalaga","@PBMarbeMalaga")</f>
        <v>@PBMarbeMalaga</v>
      </c>
      <c r="C1782" s="8" t="s">
        <v>618</v>
      </c>
      <c r="D1782" s="9" t="s">
        <v>7124</v>
      </c>
      <c r="E1782" s="10" t="str">
        <f>HYPERLINK("https://twitter.com/PBMarbeMalaga/status/1070277532572893185","1070277532572893185")</f>
        <v>1070277532572893185</v>
      </c>
      <c r="F1782" s="13" t="s">
        <v>7125</v>
      </c>
      <c r="G1782" s="11"/>
      <c r="H1782" s="11"/>
      <c r="I1782" s="14">
        <v>0</v>
      </c>
      <c r="J1782" s="14">
        <v>0</v>
      </c>
      <c r="K1782" s="15" t="str">
        <f>HYPERLINK("https://javitang.ddns.net","PBMarbeMalaga")</f>
        <v>PBMarbeMalaga</v>
      </c>
      <c r="L1782" s="14">
        <v>1316</v>
      </c>
      <c r="M1782" s="14">
        <v>1358</v>
      </c>
      <c r="N1782" s="14">
        <v>2</v>
      </c>
      <c r="O1782" s="16"/>
      <c r="P1782" s="6">
        <v>43149.814074074078</v>
      </c>
      <c r="Q1782" s="12" t="s">
        <v>621</v>
      </c>
      <c r="R1782" s="17" t="s">
        <v>622</v>
      </c>
      <c r="S1782" s="11"/>
      <c r="T1782" s="11"/>
      <c r="U1782" s="10" t="str">
        <f>HYPERLINK("https://pbs.twimg.com/profile_images/965296691145531392/sAFnfUu2.jpg","View")</f>
        <v>View</v>
      </c>
    </row>
    <row r="1783" spans="1:21" ht="51">
      <c r="A1783" s="6">
        <v>43439.513657407406</v>
      </c>
      <c r="B1783" s="7" t="str">
        <f>HYPERLINK("https://twitter.com/letticia_1","@letticia_1")</f>
        <v>@letticia_1</v>
      </c>
      <c r="C1783" s="8" t="s">
        <v>7129</v>
      </c>
      <c r="D1783" s="9" t="s">
        <v>7130</v>
      </c>
      <c r="E1783" s="10" t="str">
        <f>HYPERLINK("https://twitter.com/letticia_1/status/1070276513000493056","1070276513000493056")</f>
        <v>1070276513000493056</v>
      </c>
      <c r="F1783" s="13" t="s">
        <v>7131</v>
      </c>
      <c r="G1783" s="11"/>
      <c r="H1783" s="11"/>
      <c r="I1783" s="14">
        <v>0</v>
      </c>
      <c r="J1783" s="14">
        <v>0</v>
      </c>
      <c r="K1783" s="15" t="str">
        <f>HYPERLINK("http://www.facebook.com/twitter","Facebook")</f>
        <v>Facebook</v>
      </c>
      <c r="L1783" s="14">
        <v>30</v>
      </c>
      <c r="M1783" s="14">
        <v>5</v>
      </c>
      <c r="N1783" s="14">
        <v>1</v>
      </c>
      <c r="O1783" s="16"/>
      <c r="P1783" s="6">
        <v>40578.806157407409</v>
      </c>
      <c r="Q1783" s="12" t="s">
        <v>137</v>
      </c>
      <c r="R1783" s="17" t="s">
        <v>7132</v>
      </c>
      <c r="S1783" s="13" t="s">
        <v>7133</v>
      </c>
      <c r="T1783" s="11"/>
      <c r="U1783" s="10" t="str">
        <f>HYPERLINK("https://pbs.twimg.com/profile_images/3193796113/fcad1f06ab2081c89a3fcffa8aeb67d2.jpeg","View")</f>
        <v>View</v>
      </c>
    </row>
    <row r="1784" spans="1:21" ht="40.799999999999997">
      <c r="A1784" s="6">
        <v>43439.513101851851</v>
      </c>
      <c r="B1784" s="7" t="str">
        <f>HYPERLINK("https://twitter.com/enriquedediegov","@enriquedediegov")</f>
        <v>@enriquedediegov</v>
      </c>
      <c r="C1784" s="8" t="s">
        <v>5108</v>
      </c>
      <c r="D1784" s="9" t="s">
        <v>5109</v>
      </c>
      <c r="E1784" s="10" t="str">
        <f>HYPERLINK("https://twitter.com/enriquedediegov/status/1070276313037070336","1070276313037070336")</f>
        <v>1070276313037070336</v>
      </c>
      <c r="F1784" s="13" t="s">
        <v>7137</v>
      </c>
      <c r="G1784" s="11"/>
      <c r="H1784" s="11"/>
      <c r="I1784" s="14">
        <v>0</v>
      </c>
      <c r="J1784" s="14">
        <v>0</v>
      </c>
      <c r="K1784" s="15" t="str">
        <f>HYPERLINK("http://twitter.com","Twitter Web Client")</f>
        <v>Twitter Web Client</v>
      </c>
      <c r="L1784" s="14">
        <v>7792</v>
      </c>
      <c r="M1784" s="14">
        <v>6053</v>
      </c>
      <c r="N1784" s="14">
        <v>179</v>
      </c>
      <c r="O1784" s="16"/>
      <c r="P1784" s="6">
        <v>41293.717129629629</v>
      </c>
      <c r="Q1784" s="12" t="s">
        <v>137</v>
      </c>
      <c r="R1784" s="17" t="s">
        <v>5113</v>
      </c>
      <c r="S1784" s="13" t="s">
        <v>5114</v>
      </c>
      <c r="T1784" s="11"/>
      <c r="U1784" s="10" t="str">
        <f>HYPERLINK("https://pbs.twimg.com/profile_images/3129623790/4ae197d01442e05dee4622297c3b9642.jpeg","View")</f>
        <v>View</v>
      </c>
    </row>
    <row r="1785" spans="1:21" ht="71.400000000000006">
      <c r="A1785" s="6">
        <v>43439.511817129634</v>
      </c>
      <c r="B1785" s="7" t="str">
        <f>HYPERLINK("https://twitter.com/GeneralManki","@GeneralManki")</f>
        <v>@GeneralManki</v>
      </c>
      <c r="C1785" s="8" t="s">
        <v>7142</v>
      </c>
      <c r="D1785" s="9" t="s">
        <v>7143</v>
      </c>
      <c r="E1785" s="10" t="str">
        <f>HYPERLINK("https://twitter.com/GeneralManki/status/1070275845955182593","1070275845955182593")</f>
        <v>1070275845955182593</v>
      </c>
      <c r="F1785" s="13" t="s">
        <v>7144</v>
      </c>
      <c r="G1785" s="13" t="s">
        <v>7145</v>
      </c>
      <c r="H1785" s="11"/>
      <c r="I1785" s="14">
        <v>0</v>
      </c>
      <c r="J1785" s="14">
        <v>0</v>
      </c>
      <c r="K1785" s="15" t="str">
        <f>HYPERLINK("http://twitter.com/download/android","Twitter for Android")</f>
        <v>Twitter for Android</v>
      </c>
      <c r="L1785" s="14">
        <v>950</v>
      </c>
      <c r="M1785" s="14">
        <v>1122</v>
      </c>
      <c r="N1785" s="14">
        <v>16</v>
      </c>
      <c r="O1785" s="16"/>
      <c r="P1785" s="6">
        <v>40565.692083333335</v>
      </c>
      <c r="Q1785" s="12" t="s">
        <v>83</v>
      </c>
      <c r="R1785" s="17" t="s">
        <v>7147</v>
      </c>
      <c r="S1785" s="13" t="s">
        <v>7148</v>
      </c>
      <c r="T1785" s="11"/>
      <c r="U1785" s="10" t="str">
        <f>HYPERLINK("https://pbs.twimg.com/profile_images/443335494990954496/5rNVUYmt.jpeg","View")</f>
        <v>View</v>
      </c>
    </row>
    <row r="1786" spans="1:21" ht="30.6">
      <c r="A1786" s="6">
        <v>43439.511261574073</v>
      </c>
      <c r="B1786" s="7" t="str">
        <f>HYPERLINK("https://twitter.com/cesarmese","@cesarmese")</f>
        <v>@cesarmese</v>
      </c>
      <c r="C1786" s="8" t="s">
        <v>7149</v>
      </c>
      <c r="D1786" s="9" t="s">
        <v>7150</v>
      </c>
      <c r="E1786" s="10" t="str">
        <f>HYPERLINK("https://twitter.com/cesarmese/status/1070275644863512576","1070275644863512576")</f>
        <v>1070275644863512576</v>
      </c>
      <c r="F1786" s="13" t="s">
        <v>4715</v>
      </c>
      <c r="G1786" s="11"/>
      <c r="H1786" s="11"/>
      <c r="I1786" s="14">
        <v>0</v>
      </c>
      <c r="J1786" s="14">
        <v>0</v>
      </c>
      <c r="K1786" s="15" t="str">
        <f>HYPERLINK("http://twitter.com","Twitter Web Client")</f>
        <v>Twitter Web Client</v>
      </c>
      <c r="L1786" s="14">
        <v>146</v>
      </c>
      <c r="M1786" s="14">
        <v>99</v>
      </c>
      <c r="N1786" s="14">
        <v>7</v>
      </c>
      <c r="O1786" s="16"/>
      <c r="P1786" s="6">
        <v>41786.737905092596</v>
      </c>
      <c r="Q1786" s="11"/>
      <c r="R1786" s="17" t="s">
        <v>7151</v>
      </c>
      <c r="S1786" s="11"/>
      <c r="T1786" s="11"/>
      <c r="U1786" s="10" t="str">
        <f>HYPERLINK("https://pbs.twimg.com/profile_images/844152660026703873/Bk118tx-.jpg","View")</f>
        <v>View</v>
      </c>
    </row>
    <row r="1787" spans="1:21" ht="30.6">
      <c r="A1787" s="6">
        <v>43439.510185185187</v>
      </c>
      <c r="B1787" s="7" t="str">
        <f>HYPERLINK("https://twitter.com/FuensantaLM","@FuensantaLM")</f>
        <v>@FuensantaLM</v>
      </c>
      <c r="C1787" s="8" t="s">
        <v>7154</v>
      </c>
      <c r="D1787" s="9" t="s">
        <v>7155</v>
      </c>
      <c r="E1787" s="10" t="str">
        <f>HYPERLINK("https://twitter.com/FuensantaLM/status/1070275255581753344","1070275255581753344")</f>
        <v>1070275255581753344</v>
      </c>
      <c r="F1787" s="13" t="s">
        <v>7156</v>
      </c>
      <c r="G1787" s="13" t="s">
        <v>7157</v>
      </c>
      <c r="H1787" s="11"/>
      <c r="I1787" s="14">
        <v>0</v>
      </c>
      <c r="J1787" s="14">
        <v>2</v>
      </c>
      <c r="K1787" s="15" t="str">
        <f>HYPERLINK("http://www.cosasdeunabailarina.es","Bailarina Auto Twitter")</f>
        <v>Bailarina Auto Twitter</v>
      </c>
      <c r="L1787" s="14">
        <v>14631</v>
      </c>
      <c r="M1787" s="14">
        <v>14466</v>
      </c>
      <c r="N1787" s="14">
        <v>191</v>
      </c>
      <c r="O1787" s="16"/>
      <c r="P1787" s="6">
        <v>41068.571076388893</v>
      </c>
      <c r="Q1787" s="12" t="s">
        <v>137</v>
      </c>
      <c r="R1787" s="17" t="s">
        <v>7158</v>
      </c>
      <c r="S1787" s="13" t="s">
        <v>7159</v>
      </c>
      <c r="T1787" s="11"/>
      <c r="U1787" s="10" t="str">
        <f>HYPERLINK("https://pbs.twimg.com/profile_images/984828025639526400/FWEVAQrE.jpg","View")</f>
        <v>View</v>
      </c>
    </row>
    <row r="1788" spans="1:21" ht="40.799999999999997">
      <c r="A1788" s="6">
        <v>43439.509768518517</v>
      </c>
      <c r="B1788" s="7" t="str">
        <f>HYPERLINK("https://twitter.com/GripauG","@GripauG")</f>
        <v>@GripauG</v>
      </c>
      <c r="C1788" s="8" t="s">
        <v>154</v>
      </c>
      <c r="D1788" s="9" t="s">
        <v>7161</v>
      </c>
      <c r="E1788" s="10" t="str">
        <f>HYPERLINK("https://twitter.com/GripauG/status/1070275103508840448","1070275103508840448")</f>
        <v>1070275103508840448</v>
      </c>
      <c r="F1788" s="11"/>
      <c r="G1788" s="11"/>
      <c r="H1788" s="11"/>
      <c r="I1788" s="14">
        <v>0</v>
      </c>
      <c r="J1788" s="14">
        <v>1</v>
      </c>
      <c r="K1788" s="15" t="str">
        <f>HYPERLINK("http://twitter.com/#!/download/ipad","Twitter for iPad")</f>
        <v>Twitter for iPad</v>
      </c>
      <c r="L1788" s="14">
        <v>32</v>
      </c>
      <c r="M1788" s="14">
        <v>121</v>
      </c>
      <c r="N1788" s="14">
        <v>1</v>
      </c>
      <c r="O1788" s="16"/>
      <c r="P1788" s="6">
        <v>43359.888645833329</v>
      </c>
      <c r="Q1788" s="11"/>
      <c r="R1788" s="17" t="s">
        <v>161</v>
      </c>
      <c r="S1788" s="11"/>
      <c r="T1788" s="11"/>
      <c r="U1788" s="10" t="str">
        <f>HYPERLINK("https://pbs.twimg.com/profile_images/1055865454672179200/4zrcC5V_.jpg","View")</f>
        <v>View</v>
      </c>
    </row>
    <row r="1789" spans="1:21" ht="71.400000000000006">
      <c r="A1789" s="6">
        <v>43439.509293981479</v>
      </c>
      <c r="B1789" s="7" t="str">
        <f>HYPERLINK("https://twitter.com/pipio44","@pipio44")</f>
        <v>@pipio44</v>
      </c>
      <c r="C1789" s="8" t="s">
        <v>4942</v>
      </c>
      <c r="D1789" s="9" t="s">
        <v>5841</v>
      </c>
      <c r="E1789" s="10" t="str">
        <f>HYPERLINK("https://twitter.com/pipio44/status/1070274931466887168","1070274931466887168")</f>
        <v>1070274931466887168</v>
      </c>
      <c r="F1789" s="13" t="s">
        <v>5843</v>
      </c>
      <c r="G1789" s="13" t="s">
        <v>5844</v>
      </c>
      <c r="H1789" s="11"/>
      <c r="I1789" s="14">
        <v>0</v>
      </c>
      <c r="J1789" s="14">
        <v>0</v>
      </c>
      <c r="K1789" s="15" t="str">
        <f>HYPERLINK("http://twitter.com/download/iphone","Twitter for iPhone")</f>
        <v>Twitter for iPhone</v>
      </c>
      <c r="L1789" s="14">
        <v>744</v>
      </c>
      <c r="M1789" s="14">
        <v>540</v>
      </c>
      <c r="N1789" s="14">
        <v>28</v>
      </c>
      <c r="O1789" s="16"/>
      <c r="P1789" s="6">
        <v>40771.038275462961</v>
      </c>
      <c r="Q1789" s="11"/>
      <c r="R1789" s="17" t="s">
        <v>4946</v>
      </c>
      <c r="S1789" s="11"/>
      <c r="T1789" s="11"/>
      <c r="U1789" s="10" t="str">
        <f>HYPERLINK("https://pbs.twimg.com/profile_images/1052141810347364353/8JWxa8CG.jpg","View")</f>
        <v>View</v>
      </c>
    </row>
    <row r="1790" spans="1:21" ht="71.400000000000006">
      <c r="A1790" s="6">
        <v>43439.509247685186</v>
      </c>
      <c r="B1790" s="7" t="str">
        <f>HYPERLINK("https://twitter.com/Rober_Alcaz","@Rober_Alcaz")</f>
        <v>@Rober_Alcaz</v>
      </c>
      <c r="C1790" s="8" t="s">
        <v>5846</v>
      </c>
      <c r="D1790" s="9" t="s">
        <v>5847</v>
      </c>
      <c r="E1790" s="10" t="str">
        <f>HYPERLINK("https://twitter.com/Rober_Alcaz/status/1070274917176877058","1070274917176877058")</f>
        <v>1070274917176877058</v>
      </c>
      <c r="F1790" s="12" t="s">
        <v>2194</v>
      </c>
      <c r="G1790" s="11"/>
      <c r="H1790" s="11"/>
      <c r="I1790" s="14">
        <v>1</v>
      </c>
      <c r="J1790" s="14">
        <v>1</v>
      </c>
      <c r="K1790" s="15" t="str">
        <f t="shared" ref="K1790:K1791" si="353">HYPERLINK("http://twitter.com","Twitter Web Client")</f>
        <v>Twitter Web Client</v>
      </c>
      <c r="L1790" s="14">
        <v>1149</v>
      </c>
      <c r="M1790" s="14">
        <v>1173</v>
      </c>
      <c r="N1790" s="14">
        <v>9</v>
      </c>
      <c r="O1790" s="16"/>
      <c r="P1790" s="6">
        <v>42700.788993055554</v>
      </c>
      <c r="Q1790" s="11"/>
      <c r="R1790" s="17" t="s">
        <v>5850</v>
      </c>
      <c r="S1790" s="11"/>
      <c r="T1790" s="11"/>
      <c r="U1790" s="10" t="str">
        <f>HYPERLINK("https://pbs.twimg.com/profile_images/804448079604809728/z4q3NnYD.jpg","View")</f>
        <v>View</v>
      </c>
    </row>
    <row r="1791" spans="1:21" ht="51">
      <c r="A1791" s="6">
        <v>43439.508275462962</v>
      </c>
      <c r="B1791" s="7" t="str">
        <f>HYPERLINK("https://twitter.com/CiudadanosCs","@CiudadanosCs")</f>
        <v>@CiudadanosCs</v>
      </c>
      <c r="C1791" s="8" t="s">
        <v>489</v>
      </c>
      <c r="D1791" s="9" t="s">
        <v>5851</v>
      </c>
      <c r="E1791" s="10" t="str">
        <f>HYPERLINK("https://twitter.com/CiudadanosCs/status/1070274565723570182","1070274565723570182")</f>
        <v>1070274565723570182</v>
      </c>
      <c r="F1791" s="11"/>
      <c r="G1791" s="13" t="s">
        <v>5853</v>
      </c>
      <c r="H1791" s="11"/>
      <c r="I1791" s="14">
        <v>63</v>
      </c>
      <c r="J1791" s="14">
        <v>76</v>
      </c>
      <c r="K1791" s="15" t="str">
        <f t="shared" si="353"/>
        <v>Twitter Web Client</v>
      </c>
      <c r="L1791" s="14">
        <v>490821</v>
      </c>
      <c r="M1791" s="14">
        <v>93557</v>
      </c>
      <c r="N1791" s="14">
        <v>3338</v>
      </c>
      <c r="O1791" s="19" t="s">
        <v>42</v>
      </c>
      <c r="P1791" s="6">
        <v>39828.753460648149</v>
      </c>
      <c r="Q1791" s="12" t="s">
        <v>137</v>
      </c>
      <c r="R1791" s="17" t="s">
        <v>492</v>
      </c>
      <c r="S1791" s="13" t="s">
        <v>493</v>
      </c>
      <c r="T1791" s="11"/>
      <c r="U1791" s="10" t="str">
        <f>HYPERLINK("https://pbs.twimg.com/profile_images/1053554096161075200/1z77_zBZ.jpg","View")</f>
        <v>View</v>
      </c>
    </row>
    <row r="1792" spans="1:21" ht="30.6">
      <c r="A1792" s="6">
        <v>43439.508194444439</v>
      </c>
      <c r="B1792" s="7" t="str">
        <f>HYPERLINK("https://twitter.com/johnhseneca","@johnhseneca")</f>
        <v>@johnhseneca</v>
      </c>
      <c r="C1792" s="8" t="s">
        <v>5857</v>
      </c>
      <c r="D1792" s="9" t="s">
        <v>5858</v>
      </c>
      <c r="E1792" s="10" t="str">
        <f>HYPERLINK("https://twitter.com/johnhseneca/status/1070274535990194176","1070274535990194176")</f>
        <v>1070274535990194176</v>
      </c>
      <c r="F1792" s="11"/>
      <c r="G1792" s="11"/>
      <c r="H1792" s="11"/>
      <c r="I1792" s="14">
        <v>0</v>
      </c>
      <c r="J1792" s="14">
        <v>0</v>
      </c>
      <c r="K1792" s="15" t="str">
        <f t="shared" ref="K1792:K1793" si="354">HYPERLINK("http://twitter.com/download/android","Twitter for Android")</f>
        <v>Twitter for Android</v>
      </c>
      <c r="L1792" s="14">
        <v>90</v>
      </c>
      <c r="M1792" s="14">
        <v>266</v>
      </c>
      <c r="N1792" s="14">
        <v>0</v>
      </c>
      <c r="O1792" s="16"/>
      <c r="P1792" s="6">
        <v>41155.817708333336</v>
      </c>
      <c r="Q1792" s="11"/>
      <c r="R1792" s="17" t="s">
        <v>5859</v>
      </c>
      <c r="S1792" s="11"/>
      <c r="T1792" s="11"/>
      <c r="U1792" s="10" t="str">
        <f>HYPERLINK("https://pbs.twimg.com/profile_images/893397486580248577/qJqCYPBI.jpg","View")</f>
        <v>View</v>
      </c>
    </row>
    <row r="1793" spans="1:21" ht="112.2">
      <c r="A1793" s="6">
        <v>43439.507731481484</v>
      </c>
      <c r="B1793" s="7" t="str">
        <f>HYPERLINK("https://twitter.com/MCarmenRiv74","@MCarmenRiv74")</f>
        <v>@MCarmenRiv74</v>
      </c>
      <c r="C1793" s="8" t="s">
        <v>6499</v>
      </c>
      <c r="D1793" s="9" t="s">
        <v>7171</v>
      </c>
      <c r="E1793" s="10" t="str">
        <f>HYPERLINK("https://twitter.com/MCarmenRiv74/status/1070274366368350208","1070274366368350208")</f>
        <v>1070274366368350208</v>
      </c>
      <c r="F1793" s="12" t="s">
        <v>7172</v>
      </c>
      <c r="G1793" s="11"/>
      <c r="H1793" s="11"/>
      <c r="I1793" s="14">
        <v>4</v>
      </c>
      <c r="J1793" s="14">
        <v>4</v>
      </c>
      <c r="K1793" s="15" t="str">
        <f t="shared" si="354"/>
        <v>Twitter for Android</v>
      </c>
      <c r="L1793" s="14">
        <v>15661</v>
      </c>
      <c r="M1793" s="14">
        <v>13805</v>
      </c>
      <c r="N1793" s="14">
        <v>93</v>
      </c>
      <c r="O1793" s="16"/>
      <c r="P1793" s="6">
        <v>41398.572731481479</v>
      </c>
      <c r="Q1793" s="11"/>
      <c r="R1793" s="17" t="s">
        <v>6502</v>
      </c>
      <c r="S1793" s="11"/>
      <c r="T1793" s="11"/>
      <c r="U1793" s="10" t="str">
        <f>HYPERLINK("https://pbs.twimg.com/profile_images/1062865623494131712/UmeE68Gq.jpg","View")</f>
        <v>View</v>
      </c>
    </row>
    <row r="1794" spans="1:21" ht="40.799999999999997">
      <c r="A1794" s="6">
        <v>43439.507534722223</v>
      </c>
      <c r="B1794" s="7" t="str">
        <f>HYPERLINK("https://twitter.com/KODiario666","@KODiario666")</f>
        <v>@KODiario666</v>
      </c>
      <c r="C1794" s="8" t="s">
        <v>7175</v>
      </c>
      <c r="D1794" s="9" t="s">
        <v>7176</v>
      </c>
      <c r="E1794" s="10" t="str">
        <f>HYPERLINK("https://twitter.com/KODiario666/status/1070274293991424001","1070274293991424001")</f>
        <v>1070274293991424001</v>
      </c>
      <c r="F1794" s="11"/>
      <c r="G1794" s="11"/>
      <c r="H1794" s="11"/>
      <c r="I1794" s="14">
        <v>5</v>
      </c>
      <c r="J1794" s="14">
        <v>8</v>
      </c>
      <c r="K1794" s="15" t="str">
        <f t="shared" ref="K1794:K1795" si="355">HYPERLINK("http://twitter.com/download/iphone","Twitter for iPhone")</f>
        <v>Twitter for iPhone</v>
      </c>
      <c r="L1794" s="14">
        <v>768</v>
      </c>
      <c r="M1794" s="14">
        <v>227</v>
      </c>
      <c r="N1794" s="14">
        <v>8</v>
      </c>
      <c r="O1794" s="16"/>
      <c r="P1794" s="6">
        <v>42944.40697916667</v>
      </c>
      <c r="Q1794" s="12" t="s">
        <v>7178</v>
      </c>
      <c r="R1794" s="17" t="s">
        <v>7179</v>
      </c>
      <c r="S1794" s="13" t="s">
        <v>7180</v>
      </c>
      <c r="T1794" s="11"/>
      <c r="U1794" s="10" t="str">
        <f>HYPERLINK("https://pbs.twimg.com/profile_images/1019138233127653376/68gnC4na.jpg","View")</f>
        <v>View</v>
      </c>
    </row>
    <row r="1795" spans="1:21" ht="51">
      <c r="A1795" s="6">
        <v>43439.507476851853</v>
      </c>
      <c r="B1795" s="7" t="str">
        <f>HYPERLINK("https://twitter.com/medstradingcorp","@medstradingcorp")</f>
        <v>@medstradingcorp</v>
      </c>
      <c r="C1795" s="8" t="s">
        <v>5861</v>
      </c>
      <c r="D1795" s="9" t="s">
        <v>5862</v>
      </c>
      <c r="E1795" s="10" t="str">
        <f>HYPERLINK("https://twitter.com/medstradingcorp/status/1070274273137319938","1070274273137319938")</f>
        <v>1070274273137319938</v>
      </c>
      <c r="F1795" s="13" t="s">
        <v>5866</v>
      </c>
      <c r="G1795" s="11"/>
      <c r="H1795" s="11"/>
      <c r="I1795" s="14">
        <v>0</v>
      </c>
      <c r="J1795" s="14">
        <v>0</v>
      </c>
      <c r="K1795" s="15" t="str">
        <f t="shared" si="355"/>
        <v>Twitter for iPhone</v>
      </c>
      <c r="L1795" s="14">
        <v>597</v>
      </c>
      <c r="M1795" s="14">
        <v>2199</v>
      </c>
      <c r="N1795" s="14">
        <v>35</v>
      </c>
      <c r="O1795" s="16"/>
      <c r="P1795" s="6">
        <v>41824.288726851853</v>
      </c>
      <c r="Q1795" s="11"/>
      <c r="R1795" s="17" t="s">
        <v>5867</v>
      </c>
      <c r="S1795" s="11"/>
      <c r="T1795" s="11"/>
      <c r="U1795" s="10" t="str">
        <f>HYPERLINK("https://pbs.twimg.com/profile_images/674725855726280708/cWpAZlhm.jpg","View")</f>
        <v>View</v>
      </c>
    </row>
    <row r="1796" spans="1:21" ht="30.6">
      <c r="A1796" s="6">
        <v>43439.506493055553</v>
      </c>
      <c r="B1796" s="7" t="str">
        <f>HYPERLINK("https://twitter.com/HechosdeHoy","@HechosdeHoy")</f>
        <v>@HechosdeHoy</v>
      </c>
      <c r="C1796" s="8" t="s">
        <v>7184</v>
      </c>
      <c r="D1796" s="9" t="s">
        <v>7185</v>
      </c>
      <c r="E1796" s="10" t="str">
        <f>HYPERLINK("https://twitter.com/HechosdeHoy/status/1070273917271662592","1070273917271662592")</f>
        <v>1070273917271662592</v>
      </c>
      <c r="F1796" s="13" t="s">
        <v>7186</v>
      </c>
      <c r="G1796" s="11"/>
      <c r="H1796" s="11"/>
      <c r="I1796" s="14">
        <v>0</v>
      </c>
      <c r="J1796" s="14">
        <v>0</v>
      </c>
      <c r="K1796" s="15" t="str">
        <f t="shared" ref="K1796:K1797" si="356">HYPERLINK("https://www.hootsuite.com","Hootsuite Inc.")</f>
        <v>Hootsuite Inc.</v>
      </c>
      <c r="L1796" s="14">
        <v>1701</v>
      </c>
      <c r="M1796" s="14">
        <v>192</v>
      </c>
      <c r="N1796" s="14">
        <v>154</v>
      </c>
      <c r="O1796" s="16"/>
      <c r="P1796" s="6">
        <v>40218.855428240742</v>
      </c>
      <c r="Q1796" s="12" t="s">
        <v>181</v>
      </c>
      <c r="R1796" s="17" t="s">
        <v>7188</v>
      </c>
      <c r="S1796" s="13" t="s">
        <v>7189</v>
      </c>
      <c r="T1796" s="11"/>
      <c r="U1796" s="10" t="str">
        <f>HYPERLINK("https://pbs.twimg.com/profile_images/464409453521940481/yT0nJ-FF.jpeg","View")</f>
        <v>View</v>
      </c>
    </row>
    <row r="1797" spans="1:21" ht="30.6">
      <c r="A1797" s="6">
        <v>43439.506388888884</v>
      </c>
      <c r="B1797" s="7" t="str">
        <f>HYPERLINK("https://twitter.com/AngelikaKLoewe","@AngelikaKLoewe")</f>
        <v>@AngelikaKLoewe</v>
      </c>
      <c r="C1797" s="8" t="s">
        <v>7190</v>
      </c>
      <c r="D1797" s="9" t="s">
        <v>7185</v>
      </c>
      <c r="E1797" s="10" t="str">
        <f>HYPERLINK("https://twitter.com/AngelikaKLoewe/status/1070273880609173504","1070273880609173504")</f>
        <v>1070273880609173504</v>
      </c>
      <c r="F1797" s="13" t="s">
        <v>7186</v>
      </c>
      <c r="G1797" s="11"/>
      <c r="H1797" s="11"/>
      <c r="I1797" s="14">
        <v>0</v>
      </c>
      <c r="J1797" s="14">
        <v>0</v>
      </c>
      <c r="K1797" s="15" t="str">
        <f t="shared" si="356"/>
        <v>Hootsuite Inc.</v>
      </c>
      <c r="L1797" s="14">
        <v>487</v>
      </c>
      <c r="M1797" s="14">
        <v>281</v>
      </c>
      <c r="N1797" s="14">
        <v>132</v>
      </c>
      <c r="O1797" s="16"/>
      <c r="P1797" s="6">
        <v>40790.94467592593</v>
      </c>
      <c r="Q1797" s="12" t="s">
        <v>137</v>
      </c>
      <c r="R1797" s="17" t="s">
        <v>7193</v>
      </c>
      <c r="S1797" s="13" t="s">
        <v>7189</v>
      </c>
      <c r="T1797" s="11"/>
      <c r="U1797" s="10" t="str">
        <f>HYPERLINK("https://pbs.twimg.com/profile_images/918571671069560832/Ne24q9Qu.jpg","View")</f>
        <v>View</v>
      </c>
    </row>
    <row r="1798" spans="1:21" ht="51">
      <c r="A1798" s="6">
        <v>43439.505324074074</v>
      </c>
      <c r="B1798" s="7" t="str">
        <f>HYPERLINK("https://twitter.com/AntonCifu71","@AntonCifu71")</f>
        <v>@AntonCifu71</v>
      </c>
      <c r="C1798" s="8" t="s">
        <v>5868</v>
      </c>
      <c r="D1798" s="9" t="s">
        <v>5869</v>
      </c>
      <c r="E1798" s="10" t="str">
        <f>HYPERLINK("https://twitter.com/AntonCifu71/status/1070273496134139904","1070273496134139904")</f>
        <v>1070273496134139904</v>
      </c>
      <c r="F1798" s="11"/>
      <c r="G1798" s="11"/>
      <c r="H1798" s="11"/>
      <c r="I1798" s="14">
        <v>0</v>
      </c>
      <c r="J1798" s="14">
        <v>1</v>
      </c>
      <c r="K1798" s="15" t="str">
        <f t="shared" ref="K1798:K1799" si="357">HYPERLINK("http://twitter.com/download/android","Twitter for Android")</f>
        <v>Twitter for Android</v>
      </c>
      <c r="L1798" s="14">
        <v>91</v>
      </c>
      <c r="M1798" s="14">
        <v>576</v>
      </c>
      <c r="N1798" s="14">
        <v>0</v>
      </c>
      <c r="O1798" s="16"/>
      <c r="P1798" s="6">
        <v>42858.522141203706</v>
      </c>
      <c r="Q1798" s="12" t="s">
        <v>5870</v>
      </c>
      <c r="R1798" s="17" t="s">
        <v>5871</v>
      </c>
      <c r="S1798" s="11"/>
      <c r="T1798" s="11"/>
      <c r="U1798" s="10" t="str">
        <f>HYPERLINK("https://pbs.twimg.com/profile_images/859720792556417025/7kyVwl_c.jpg","View")</f>
        <v>View</v>
      </c>
    </row>
    <row r="1799" spans="1:21" ht="51">
      <c r="A1799" s="6">
        <v>43439.504826388889</v>
      </c>
      <c r="B1799" s="7" t="str">
        <f>HYPERLINK("https://twitter.com/Cs_Calafell","@Cs_Calafell")</f>
        <v>@Cs_Calafell</v>
      </c>
      <c r="C1799" s="8" t="s">
        <v>3003</v>
      </c>
      <c r="D1799" s="9" t="s">
        <v>5872</v>
      </c>
      <c r="E1799" s="10" t="str">
        <f>HYPERLINK("https://twitter.com/Cs_Calafell/status/1070273312390111232","1070273312390111232")</f>
        <v>1070273312390111232</v>
      </c>
      <c r="F1799" s="13" t="s">
        <v>5873</v>
      </c>
      <c r="G1799" s="13" t="s">
        <v>5874</v>
      </c>
      <c r="H1799" s="11"/>
      <c r="I1799" s="14">
        <v>6</v>
      </c>
      <c r="J1799" s="14">
        <v>6</v>
      </c>
      <c r="K1799" s="15" t="str">
        <f t="shared" si="357"/>
        <v>Twitter for Android</v>
      </c>
      <c r="L1799" s="14">
        <v>2640</v>
      </c>
      <c r="M1799" s="14">
        <v>1040</v>
      </c>
      <c r="N1799" s="14">
        <v>35</v>
      </c>
      <c r="O1799" s="16"/>
      <c r="P1799" s="6">
        <v>41668.835312499999</v>
      </c>
      <c r="Q1799" s="12" t="s">
        <v>3008</v>
      </c>
      <c r="R1799" s="17" t="s">
        <v>3009</v>
      </c>
      <c r="S1799" s="13" t="s">
        <v>3010</v>
      </c>
      <c r="T1799" s="11"/>
      <c r="U1799" s="10" t="str">
        <f>HYPERLINK("https://pbs.twimg.com/profile_images/906934584377520128/qc5_9kta.jpg","View")</f>
        <v>View</v>
      </c>
    </row>
    <row r="1800" spans="1:21" ht="20.399999999999999">
      <c r="A1800" s="6">
        <v>43439.504594907412</v>
      </c>
      <c r="B1800" s="7" t="str">
        <f>HYPERLINK("https://twitter.com/nick_tamura","@nick_tamura")</f>
        <v>@nick_tamura</v>
      </c>
      <c r="C1800" s="8" t="s">
        <v>7201</v>
      </c>
      <c r="D1800" s="9" t="s">
        <v>7202</v>
      </c>
      <c r="E1800" s="10" t="str">
        <f>HYPERLINK("https://twitter.com/nick_tamura/status/1070273230701780994","1070273230701780994")</f>
        <v>1070273230701780994</v>
      </c>
      <c r="F1800" s="13" t="s">
        <v>192</v>
      </c>
      <c r="G1800" s="11"/>
      <c r="H1800" s="11"/>
      <c r="I1800" s="14">
        <v>0</v>
      </c>
      <c r="J1800" s="14">
        <v>0</v>
      </c>
      <c r="K1800" s="15" t="str">
        <f>HYPERLINK("https://about.twitter.com/products/tweetdeck","TweetDeck")</f>
        <v>TweetDeck</v>
      </c>
      <c r="L1800" s="14">
        <v>375</v>
      </c>
      <c r="M1800" s="14">
        <v>360</v>
      </c>
      <c r="N1800" s="14">
        <v>31</v>
      </c>
      <c r="O1800" s="16"/>
      <c r="P1800" s="6">
        <v>40615.970497685186</v>
      </c>
      <c r="Q1800" s="12" t="s">
        <v>7204</v>
      </c>
      <c r="R1800" s="17" t="s">
        <v>7205</v>
      </c>
      <c r="S1800" s="13" t="s">
        <v>7206</v>
      </c>
      <c r="T1800" s="11"/>
      <c r="U1800" s="10" t="str">
        <f>HYPERLINK("https://pbs.twimg.com/profile_images/1071018483629088773/iREkeXQV.jpg","View")</f>
        <v>View</v>
      </c>
    </row>
    <row r="1801" spans="1:21" ht="30.6">
      <c r="A1801" s="6">
        <v>43439.504340277781</v>
      </c>
      <c r="B1801" s="7" t="str">
        <f>HYPERLINK("https://twitter.com/ferdydiali","@ferdydiali")</f>
        <v>@ferdydiali</v>
      </c>
      <c r="C1801" s="8" t="s">
        <v>7209</v>
      </c>
      <c r="D1801" s="9" t="s">
        <v>7210</v>
      </c>
      <c r="E1801" s="10" t="str">
        <f>HYPERLINK("https://twitter.com/ferdydiali/status/1070273138888491008","1070273138888491008")</f>
        <v>1070273138888491008</v>
      </c>
      <c r="F1801" s="13" t="s">
        <v>7212</v>
      </c>
      <c r="G1801" s="11"/>
      <c r="H1801" s="11"/>
      <c r="I1801" s="14">
        <v>0</v>
      </c>
      <c r="J1801" s="14">
        <v>2</v>
      </c>
      <c r="K1801" s="15" t="str">
        <f>HYPERLINK("http://twitter.com/download/android","Twitter for Android")</f>
        <v>Twitter for Android</v>
      </c>
      <c r="L1801" s="14">
        <v>23</v>
      </c>
      <c r="M1801" s="14">
        <v>121</v>
      </c>
      <c r="N1801" s="14">
        <v>0</v>
      </c>
      <c r="O1801" s="16"/>
      <c r="P1801" s="6">
        <v>41725.97929398148</v>
      </c>
      <c r="Q1801" s="11"/>
      <c r="R1801" s="18"/>
      <c r="S1801" s="11"/>
      <c r="T1801" s="11"/>
      <c r="U1801" s="19" t="s">
        <v>629</v>
      </c>
    </row>
    <row r="1802" spans="1:21" ht="13.2">
      <c r="A1802" s="6">
        <v>43439.503275462965</v>
      </c>
      <c r="B1802" s="7" t="str">
        <f>HYPERLINK("https://twitter.com/Arturitosss","@Arturitosss")</f>
        <v>@Arturitosss</v>
      </c>
      <c r="C1802" s="8" t="s">
        <v>7215</v>
      </c>
      <c r="D1802" s="9" t="s">
        <v>7216</v>
      </c>
      <c r="E1802" s="10" t="str">
        <f>HYPERLINK("https://twitter.com/Arturitosss/status/1070272752156848128","1070272752156848128")</f>
        <v>1070272752156848128</v>
      </c>
      <c r="F1802" s="13" t="s">
        <v>7217</v>
      </c>
      <c r="G1802" s="11"/>
      <c r="H1802" s="11"/>
      <c r="I1802" s="14">
        <v>0</v>
      </c>
      <c r="J1802" s="14">
        <v>0</v>
      </c>
      <c r="K1802" s="15" t="str">
        <f t="shared" ref="K1802:K1803" si="358">HYPERLINK("http://twitter.com","Twitter Web Client")</f>
        <v>Twitter Web Client</v>
      </c>
      <c r="L1802" s="14">
        <v>181</v>
      </c>
      <c r="M1802" s="14">
        <v>265</v>
      </c>
      <c r="N1802" s="14">
        <v>55</v>
      </c>
      <c r="O1802" s="16"/>
      <c r="P1802" s="6">
        <v>40803.946620370371</v>
      </c>
      <c r="Q1802" s="12" t="s">
        <v>7218</v>
      </c>
      <c r="R1802" s="17" t="s">
        <v>7219</v>
      </c>
      <c r="S1802" s="11"/>
      <c r="T1802" s="11"/>
      <c r="U1802" s="10" t="str">
        <f>HYPERLINK("https://pbs.twimg.com/profile_images/2569497955/9bcndf9z02752bh9ia7m.jpeg","View")</f>
        <v>View</v>
      </c>
    </row>
    <row r="1803" spans="1:21" ht="51">
      <c r="A1803" s="6">
        <v>43439.503009259264</v>
      </c>
      <c r="B1803" s="7" t="str">
        <f>HYPERLINK("https://twitter.com/JuanmiBaquero","@JuanmiBaquero")</f>
        <v>@JuanmiBaquero</v>
      </c>
      <c r="C1803" s="8" t="s">
        <v>5876</v>
      </c>
      <c r="D1803" s="9" t="s">
        <v>5877</v>
      </c>
      <c r="E1803" s="10" t="str">
        <f>HYPERLINK("https://twitter.com/JuanmiBaquero/status/1070272655775989760","1070272655775989760")</f>
        <v>1070272655775989760</v>
      </c>
      <c r="F1803" s="13" t="s">
        <v>5878</v>
      </c>
      <c r="G1803" s="11"/>
      <c r="H1803" s="11"/>
      <c r="I1803" s="14">
        <v>1</v>
      </c>
      <c r="J1803" s="14">
        <v>1</v>
      </c>
      <c r="K1803" s="15" t="str">
        <f t="shared" si="358"/>
        <v>Twitter Web Client</v>
      </c>
      <c r="L1803" s="14">
        <v>3419</v>
      </c>
      <c r="M1803" s="14">
        <v>946</v>
      </c>
      <c r="N1803" s="14">
        <v>100</v>
      </c>
      <c r="O1803" s="16"/>
      <c r="P1803" s="6">
        <v>40928.928460648152</v>
      </c>
      <c r="Q1803" s="12" t="s">
        <v>5880</v>
      </c>
      <c r="R1803" s="17" t="s">
        <v>5881</v>
      </c>
      <c r="S1803" s="13" t="s">
        <v>5882</v>
      </c>
      <c r="T1803" s="11"/>
      <c r="U1803" s="10" t="str">
        <f>HYPERLINK("https://pbs.twimg.com/profile_images/1042519835471691776/mcZwsmOn.jpg","View")</f>
        <v>View</v>
      </c>
    </row>
    <row r="1804" spans="1:21" ht="40.799999999999997">
      <c r="A1804" s="6">
        <v>43439.502870370372</v>
      </c>
      <c r="B1804" s="7" t="str">
        <f>HYPERLINK("https://twitter.com/InesArrimadas","@InesArrimadas")</f>
        <v>@InesArrimadas</v>
      </c>
      <c r="C1804" s="8" t="s">
        <v>5884</v>
      </c>
      <c r="D1804" s="9" t="s">
        <v>5885</v>
      </c>
      <c r="E1804" s="10" t="str">
        <f>HYPERLINK("https://twitter.com/InesArrimadas/status/1070272603485548544","1070272603485548544")</f>
        <v>1070272603485548544</v>
      </c>
      <c r="F1804" s="13" t="s">
        <v>5887</v>
      </c>
      <c r="G1804" s="11"/>
      <c r="H1804" s="11"/>
      <c r="I1804" s="14">
        <v>420</v>
      </c>
      <c r="J1804" s="14">
        <v>997</v>
      </c>
      <c r="K1804" s="15" t="str">
        <f>HYPERLINK("http://twitter.com/download/iphone","Twitter for iPhone")</f>
        <v>Twitter for iPhone</v>
      </c>
      <c r="L1804" s="14">
        <v>461781</v>
      </c>
      <c r="M1804" s="14">
        <v>1152</v>
      </c>
      <c r="N1804" s="14">
        <v>1956</v>
      </c>
      <c r="O1804" s="19" t="s">
        <v>42</v>
      </c>
      <c r="P1804" s="6">
        <v>41012.483298611114</v>
      </c>
      <c r="Q1804" s="12" t="s">
        <v>83</v>
      </c>
      <c r="R1804" s="17" t="s">
        <v>5888</v>
      </c>
      <c r="S1804" s="13" t="s">
        <v>5889</v>
      </c>
      <c r="T1804" s="11"/>
      <c r="U1804" s="10" t="str">
        <f>HYPERLINK("https://pbs.twimg.com/profile_images/1015948435852267520/qMPbfmeS.jpg","View")</f>
        <v>View</v>
      </c>
    </row>
    <row r="1805" spans="1:21" ht="102">
      <c r="A1805" s="6">
        <v>43439.502662037034</v>
      </c>
      <c r="B1805" s="7" t="str">
        <f>HYPERLINK("https://twitter.com/MarleneDiafano","@MarleneDiafano")</f>
        <v>@MarleneDiafano</v>
      </c>
      <c r="C1805" s="8" t="s">
        <v>5891</v>
      </c>
      <c r="D1805" s="9" t="s">
        <v>5892</v>
      </c>
      <c r="E1805" s="10" t="str">
        <f>HYPERLINK("https://twitter.com/MarleneDiafano/status/1070272531989520384","1070272531989520384")</f>
        <v>1070272531989520384</v>
      </c>
      <c r="F1805" s="12" t="s">
        <v>5893</v>
      </c>
      <c r="G1805" s="11"/>
      <c r="H1805" s="11"/>
      <c r="I1805" s="14">
        <v>85</v>
      </c>
      <c r="J1805" s="14">
        <v>88</v>
      </c>
      <c r="K1805" s="15" t="str">
        <f>HYPERLINK("http://twitter.com","Twitter Web Client")</f>
        <v>Twitter Web Client</v>
      </c>
      <c r="L1805" s="14">
        <v>7667</v>
      </c>
      <c r="M1805" s="14">
        <v>6456</v>
      </c>
      <c r="N1805" s="14">
        <v>8</v>
      </c>
      <c r="O1805" s="16"/>
      <c r="P1805" s="6">
        <v>43014.941134259258</v>
      </c>
      <c r="Q1805" s="12" t="s">
        <v>60</v>
      </c>
      <c r="R1805" s="17" t="s">
        <v>5894</v>
      </c>
      <c r="S1805" s="11"/>
      <c r="T1805" s="11"/>
      <c r="U1805" s="10" t="str">
        <f>HYPERLINK("https://pbs.twimg.com/profile_images/1055541042487984128/gM3eqjFo.jpg","View")</f>
        <v>View</v>
      </c>
    </row>
    <row r="1806" spans="1:21" ht="40.799999999999997">
      <c r="A1806" s="6">
        <v>43439.5</v>
      </c>
      <c r="B1806" s="7" t="str">
        <f>HYPERLINK("https://twitter.com/Cs_Asturias","@Cs_Asturias")</f>
        <v>@Cs_Asturias</v>
      </c>
      <c r="C1806" s="8" t="s">
        <v>1845</v>
      </c>
      <c r="D1806" s="9" t="s">
        <v>5897</v>
      </c>
      <c r="E1806" s="10" t="str">
        <f>HYPERLINK("https://twitter.com/Cs_Asturias/status/1070271565596647426","1070271565596647426")</f>
        <v>1070271565596647426</v>
      </c>
      <c r="F1806" s="13" t="s">
        <v>3498</v>
      </c>
      <c r="G1806" s="13" t="s">
        <v>5898</v>
      </c>
      <c r="H1806" s="11"/>
      <c r="I1806" s="14">
        <v>3</v>
      </c>
      <c r="J1806" s="14">
        <v>3</v>
      </c>
      <c r="K1806" s="15" t="str">
        <f>HYPERLINK("https://studio.twitter.com","Twitter Media Studio")</f>
        <v>Twitter Media Studio</v>
      </c>
      <c r="L1806" s="14">
        <v>5720</v>
      </c>
      <c r="M1806" s="14">
        <v>1485</v>
      </c>
      <c r="N1806" s="14">
        <v>98</v>
      </c>
      <c r="O1806" s="19" t="s">
        <v>42</v>
      </c>
      <c r="P1806" s="6">
        <v>41704.560023148151</v>
      </c>
      <c r="Q1806" s="11"/>
      <c r="R1806" s="17" t="s">
        <v>1848</v>
      </c>
      <c r="S1806" s="13" t="s">
        <v>822</v>
      </c>
      <c r="T1806" s="11"/>
      <c r="U1806" s="10" t="str">
        <f>HYPERLINK("https://pbs.twimg.com/profile_images/1053409692960075776/pqztNRjY.jpg","View")</f>
        <v>View</v>
      </c>
    </row>
    <row r="1807" spans="1:21" ht="40.799999999999997">
      <c r="A1807" s="6">
        <v>43439.497488425928</v>
      </c>
      <c r="B1807" s="7" t="str">
        <f>HYPERLINK("https://twitter.com/gonzasalinas","@gonzasalinas")</f>
        <v>@gonzasalinas</v>
      </c>
      <c r="C1807" s="8" t="s">
        <v>5899</v>
      </c>
      <c r="D1807" s="9" t="s">
        <v>5900</v>
      </c>
      <c r="E1807" s="10" t="str">
        <f>HYPERLINK("https://twitter.com/gonzasalinas/status/1070270653314543617","1070270653314543617")</f>
        <v>1070270653314543617</v>
      </c>
      <c r="F1807" s="12" t="s">
        <v>5901</v>
      </c>
      <c r="G1807" s="13" t="s">
        <v>5902</v>
      </c>
      <c r="H1807" s="11"/>
      <c r="I1807" s="14">
        <v>0</v>
      </c>
      <c r="J1807" s="14">
        <v>1</v>
      </c>
      <c r="K1807" s="15" t="str">
        <f>HYPERLINK("http://twitter.com/download/android","Twitter for Android")</f>
        <v>Twitter for Android</v>
      </c>
      <c r="L1807" s="14">
        <v>121</v>
      </c>
      <c r="M1807" s="14">
        <v>663</v>
      </c>
      <c r="N1807" s="14">
        <v>1</v>
      </c>
      <c r="O1807" s="16"/>
      <c r="P1807" s="6">
        <v>40100.666388888887</v>
      </c>
      <c r="Q1807" s="11"/>
      <c r="R1807" s="18"/>
      <c r="S1807" s="11"/>
      <c r="T1807" s="11"/>
      <c r="U1807" s="10" t="str">
        <f>HYPERLINK("https://pbs.twimg.com/profile_images/2448333937/moltgty0zd8adbgvm7wf.jpeg","View")</f>
        <v>View</v>
      </c>
    </row>
    <row r="1808" spans="1:21" ht="40.799999999999997">
      <c r="A1808" s="6">
        <v>43439.496134259258</v>
      </c>
      <c r="B1808" s="7" t="str">
        <f>HYPERLINK("https://twitter.com/RMacutoNews","@RMacutoNews")</f>
        <v>@RMacutoNews</v>
      </c>
      <c r="C1808" s="8" t="s">
        <v>5903</v>
      </c>
      <c r="D1808" s="9" t="s">
        <v>5904</v>
      </c>
      <c r="E1808" s="10" t="str">
        <f>HYPERLINK("https://twitter.com/RMacutoNews/status/1070270163679891456","1070270163679891456")</f>
        <v>1070270163679891456</v>
      </c>
      <c r="F1808" s="13" t="s">
        <v>5905</v>
      </c>
      <c r="G1808" s="11"/>
      <c r="H1808" s="11"/>
      <c r="I1808" s="14">
        <v>0</v>
      </c>
      <c r="J1808" s="14">
        <v>0</v>
      </c>
      <c r="K1808" s="15" t="str">
        <f t="shared" ref="K1808:K1812" si="359">HYPERLINK("http://twitter.com","Twitter Web Client")</f>
        <v>Twitter Web Client</v>
      </c>
      <c r="L1808" s="14">
        <v>232</v>
      </c>
      <c r="M1808" s="14">
        <v>339</v>
      </c>
      <c r="N1808" s="14">
        <v>1</v>
      </c>
      <c r="O1808" s="16"/>
      <c r="P1808" s="6">
        <v>42583.746585648143</v>
      </c>
      <c r="Q1808" s="12" t="s">
        <v>137</v>
      </c>
      <c r="R1808" s="17" t="s">
        <v>5906</v>
      </c>
      <c r="S1808" s="11"/>
      <c r="T1808" s="11"/>
      <c r="U1808" s="10" t="str">
        <f>HYPERLINK("https://pbs.twimg.com/profile_images/760148641482964992/fT40c5p4.jpg","View")</f>
        <v>View</v>
      </c>
    </row>
    <row r="1809" spans="1:21" ht="51">
      <c r="A1809" s="6">
        <v>43439.494108796294</v>
      </c>
      <c r="B1809" s="7" t="str">
        <f>HYPERLINK("https://twitter.com/64210584110","@64210584110")</f>
        <v>@64210584110</v>
      </c>
      <c r="C1809" s="8" t="s">
        <v>5909</v>
      </c>
      <c r="D1809" s="9" t="s">
        <v>5912</v>
      </c>
      <c r="E1809" s="10" t="str">
        <f>HYPERLINK("https://twitter.com/64210584110/status/1070269428791762950","1070269428791762950")</f>
        <v>1070269428791762950</v>
      </c>
      <c r="F1809" s="11"/>
      <c r="G1809" s="11"/>
      <c r="H1809" s="11"/>
      <c r="I1809" s="14">
        <v>0</v>
      </c>
      <c r="J1809" s="14">
        <v>0</v>
      </c>
      <c r="K1809" s="15" t="str">
        <f t="shared" si="359"/>
        <v>Twitter Web Client</v>
      </c>
      <c r="L1809" s="14">
        <v>1024</v>
      </c>
      <c r="M1809" s="14">
        <v>1438</v>
      </c>
      <c r="N1809" s="14">
        <v>20</v>
      </c>
      <c r="O1809" s="16"/>
      <c r="P1809" s="6">
        <v>40805.78769675926</v>
      </c>
      <c r="Q1809" s="11"/>
      <c r="R1809" s="17" t="s">
        <v>5916</v>
      </c>
      <c r="S1809" s="11"/>
      <c r="T1809" s="11"/>
      <c r="U1809" s="10" t="str">
        <f>HYPERLINK("https://pbs.twimg.com/profile_images/2464788510/parb62ihweftm0hm3sgh.jpeg","View")</f>
        <v>View</v>
      </c>
    </row>
    <row r="1810" spans="1:21" ht="51">
      <c r="A1810" s="6">
        <v>43439.494016203702</v>
      </c>
      <c r="B1810" s="7" t="str">
        <f>HYPERLINK("https://twitter.com/AngelBaena5","@AngelBaena5")</f>
        <v>@AngelBaena5</v>
      </c>
      <c r="C1810" s="8" t="s">
        <v>5920</v>
      </c>
      <c r="D1810" s="9" t="s">
        <v>5921</v>
      </c>
      <c r="E1810" s="10" t="str">
        <f>HYPERLINK("https://twitter.com/AngelBaena5/status/1070269395413450752","1070269395413450752")</f>
        <v>1070269395413450752</v>
      </c>
      <c r="F1810" s="13" t="s">
        <v>5922</v>
      </c>
      <c r="G1810" s="11"/>
      <c r="H1810" s="11"/>
      <c r="I1810" s="14">
        <v>12</v>
      </c>
      <c r="J1810" s="14">
        <v>9</v>
      </c>
      <c r="K1810" s="15" t="str">
        <f t="shared" si="359"/>
        <v>Twitter Web Client</v>
      </c>
      <c r="L1810" s="14">
        <v>5404</v>
      </c>
      <c r="M1810" s="14">
        <v>2719</v>
      </c>
      <c r="N1810" s="14">
        <v>34</v>
      </c>
      <c r="O1810" s="16"/>
      <c r="P1810" s="6">
        <v>41603.768333333333</v>
      </c>
      <c r="Q1810" s="12" t="s">
        <v>1398</v>
      </c>
      <c r="R1810" s="17" t="s">
        <v>5923</v>
      </c>
      <c r="S1810" s="11"/>
      <c r="T1810" s="11"/>
      <c r="U1810" s="10" t="str">
        <f>HYPERLINK("https://pbs.twimg.com/profile_images/378800000789831899/83471b78a5be2040937c8f90ba9b5fa8.jpeg","View")</f>
        <v>View</v>
      </c>
    </row>
    <row r="1811" spans="1:21" ht="30.6">
      <c r="A1811" s="6">
        <v>43439.493750000001</v>
      </c>
      <c r="B1811" s="7" t="str">
        <f>HYPERLINK("https://twitter.com/d4veCAT","@d4veCAT")</f>
        <v>@d4veCAT</v>
      </c>
      <c r="C1811" s="8" t="s">
        <v>7236</v>
      </c>
      <c r="D1811" s="9" t="s">
        <v>7237</v>
      </c>
      <c r="E1811" s="10" t="str">
        <f>HYPERLINK("https://twitter.com/d4veCAT/status/1070269301209399296","1070269301209399296")</f>
        <v>1070269301209399296</v>
      </c>
      <c r="F1811" s="13" t="s">
        <v>7238</v>
      </c>
      <c r="G1811" s="11"/>
      <c r="H1811" s="11"/>
      <c r="I1811" s="14">
        <v>2</v>
      </c>
      <c r="J1811" s="14">
        <v>7</v>
      </c>
      <c r="K1811" s="15" t="str">
        <f t="shared" si="359"/>
        <v>Twitter Web Client</v>
      </c>
      <c r="L1811" s="14">
        <v>2231</v>
      </c>
      <c r="M1811" s="14">
        <v>1581</v>
      </c>
      <c r="N1811" s="14">
        <v>16</v>
      </c>
      <c r="O1811" s="16"/>
      <c r="P1811" s="6">
        <v>43012.41106481482</v>
      </c>
      <c r="Q1811" s="12" t="s">
        <v>7239</v>
      </c>
      <c r="R1811" s="17" t="s">
        <v>7240</v>
      </c>
      <c r="S1811" s="11"/>
      <c r="T1811" s="11"/>
      <c r="U1811" s="10" t="str">
        <f>HYPERLINK("https://pbs.twimg.com/profile_images/1049624723208978433/ivy6KVZ5.jpg","View")</f>
        <v>View</v>
      </c>
    </row>
    <row r="1812" spans="1:21" ht="20.399999999999999">
      <c r="A1812" s="6">
        <v>43439.492905092593</v>
      </c>
      <c r="B1812" s="7" t="str">
        <f>HYPERLINK("https://twitter.com/juanfernandodt","@juanfernandodt")</f>
        <v>@juanfernandodt</v>
      </c>
      <c r="C1812" s="8" t="s">
        <v>7241</v>
      </c>
      <c r="D1812" s="9" t="s">
        <v>7242</v>
      </c>
      <c r="E1812" s="10" t="str">
        <f>HYPERLINK("https://twitter.com/juanfernandodt/status/1070268994265989120","1070268994265989120")</f>
        <v>1070268994265989120</v>
      </c>
      <c r="F1812" s="13" t="s">
        <v>7217</v>
      </c>
      <c r="G1812" s="11"/>
      <c r="H1812" s="11"/>
      <c r="I1812" s="14">
        <v>0</v>
      </c>
      <c r="J1812" s="14">
        <v>0</v>
      </c>
      <c r="K1812" s="15" t="str">
        <f t="shared" si="359"/>
        <v>Twitter Web Client</v>
      </c>
      <c r="L1812" s="14">
        <v>828</v>
      </c>
      <c r="M1812" s="14">
        <v>856</v>
      </c>
      <c r="N1812" s="14">
        <v>69</v>
      </c>
      <c r="O1812" s="16"/>
      <c r="P1812" s="6">
        <v>40262.559571759259</v>
      </c>
      <c r="Q1812" s="12" t="s">
        <v>29</v>
      </c>
      <c r="R1812" s="17" t="s">
        <v>7243</v>
      </c>
      <c r="S1812" s="13" t="s">
        <v>7189</v>
      </c>
      <c r="T1812" s="11"/>
      <c r="U1812" s="10" t="str">
        <f>HYPERLINK("https://pbs.twimg.com/profile_images/994171977337274368/q---p9ij.jpg","View")</f>
        <v>View</v>
      </c>
    </row>
    <row r="1813" spans="1:21" ht="40.799999999999997">
      <c r="A1813" s="6">
        <v>43439.492291666669</v>
      </c>
      <c r="B1813" s="7" t="str">
        <f>HYPERLINK("https://twitter.com/verolozman66","@verolozman66")</f>
        <v>@verolozman66</v>
      </c>
      <c r="C1813" s="8" t="s">
        <v>2796</v>
      </c>
      <c r="D1813" s="9" t="s">
        <v>5924</v>
      </c>
      <c r="E1813" s="10" t="str">
        <f>HYPERLINK("https://twitter.com/verolozman66/status/1070268771783335936","1070268771783335936")</f>
        <v>1070268771783335936</v>
      </c>
      <c r="F1813" s="11"/>
      <c r="G1813" s="11"/>
      <c r="H1813" s="11"/>
      <c r="I1813" s="14">
        <v>0</v>
      </c>
      <c r="J1813" s="14">
        <v>0</v>
      </c>
      <c r="K1813" s="15" t="str">
        <f>HYPERLINK("http://twitter.com/download/android","Twitter for Android")</f>
        <v>Twitter for Android</v>
      </c>
      <c r="L1813" s="14">
        <v>736</v>
      </c>
      <c r="M1813" s="14">
        <v>648</v>
      </c>
      <c r="N1813" s="14">
        <v>62</v>
      </c>
      <c r="O1813" s="16"/>
      <c r="P1813" s="6">
        <v>42345.069062499999</v>
      </c>
      <c r="Q1813" s="11"/>
      <c r="R1813" s="17" t="s">
        <v>2799</v>
      </c>
      <c r="S1813" s="11"/>
      <c r="T1813" s="11"/>
      <c r="U1813" s="10" t="str">
        <f>HYPERLINK("https://pbs.twimg.com/profile_images/963758501209300993/aVfqUi73.jpg","View")</f>
        <v>View</v>
      </c>
    </row>
    <row r="1814" spans="1:21" ht="51">
      <c r="A1814" s="6">
        <v>43439.490972222222</v>
      </c>
      <c r="B1814" s="7" t="str">
        <f>HYPERLINK("https://twitter.com/lopezbarrancoj4","@lopezbarrancoj4")</f>
        <v>@lopezbarrancoj4</v>
      </c>
      <c r="C1814" s="8" t="s">
        <v>7249</v>
      </c>
      <c r="D1814" s="9" t="s">
        <v>7250</v>
      </c>
      <c r="E1814" s="10" t="str">
        <f>HYPERLINK("https://twitter.com/lopezbarrancoj4/status/1070268293280395265","1070268293280395265")</f>
        <v>1070268293280395265</v>
      </c>
      <c r="F1814" s="11"/>
      <c r="G1814" s="11"/>
      <c r="H1814" s="11"/>
      <c r="I1814" s="14">
        <v>0</v>
      </c>
      <c r="J1814" s="14">
        <v>0</v>
      </c>
      <c r="K1814" s="15" t="str">
        <f>HYPERLINK("http://twitter.com","Twitter Web Client")</f>
        <v>Twitter Web Client</v>
      </c>
      <c r="L1814" s="14">
        <v>10</v>
      </c>
      <c r="M1814" s="14">
        <v>46</v>
      </c>
      <c r="N1814" s="14">
        <v>0</v>
      </c>
      <c r="O1814" s="16"/>
      <c r="P1814" s="6">
        <v>42912.444780092592</v>
      </c>
      <c r="Q1814" s="11"/>
      <c r="R1814" s="18"/>
      <c r="S1814" s="11"/>
      <c r="T1814" s="11"/>
      <c r="U1814" s="19" t="s">
        <v>629</v>
      </c>
    </row>
    <row r="1815" spans="1:21" ht="51">
      <c r="A1815" s="6">
        <v>43439.488969907412</v>
      </c>
      <c r="B1815" s="7" t="str">
        <f>HYPERLINK("https://twitter.com/jpslatorre","@jpslatorre")</f>
        <v>@jpslatorre</v>
      </c>
      <c r="C1815" s="8" t="s">
        <v>5927</v>
      </c>
      <c r="D1815" s="9" t="s">
        <v>5928</v>
      </c>
      <c r="E1815" s="10" t="str">
        <f>HYPERLINK("https://twitter.com/jpslatorre/status/1070267566168379392","1070267566168379392")</f>
        <v>1070267566168379392</v>
      </c>
      <c r="F1815" s="11"/>
      <c r="G1815" s="11"/>
      <c r="H1815" s="11"/>
      <c r="I1815" s="14">
        <v>0</v>
      </c>
      <c r="J1815" s="14">
        <v>3</v>
      </c>
      <c r="K1815" s="15" t="str">
        <f>HYPERLINK("http://twitter.com/download/android","Twitter for Android")</f>
        <v>Twitter for Android</v>
      </c>
      <c r="L1815" s="14">
        <v>668</v>
      </c>
      <c r="M1815" s="14">
        <v>587</v>
      </c>
      <c r="N1815" s="14">
        <v>22</v>
      </c>
      <c r="O1815" s="16"/>
      <c r="P1815" s="6">
        <v>40549.889849537038</v>
      </c>
      <c r="Q1815" s="12" t="s">
        <v>5931</v>
      </c>
      <c r="R1815" s="17" t="s">
        <v>5932</v>
      </c>
      <c r="S1815" s="13" t="s">
        <v>5933</v>
      </c>
      <c r="T1815" s="11"/>
      <c r="U1815" s="10" t="str">
        <f>HYPERLINK("https://pbs.twimg.com/profile_images/1040972097739255808/JAyWyfjs.jpg","View")</f>
        <v>View</v>
      </c>
    </row>
    <row r="1816" spans="1:21" ht="40.799999999999997">
      <c r="A1816" s="6">
        <v>43439.487696759257</v>
      </c>
      <c r="B1816" s="7" t="str">
        <f>HYPERLINK("https://twitter.com/mentxudripos","@mentxudripos")</f>
        <v>@mentxudripos</v>
      </c>
      <c r="C1816" s="8" t="s">
        <v>7256</v>
      </c>
      <c r="D1816" s="9" t="s">
        <v>7257</v>
      </c>
      <c r="E1816" s="10" t="str">
        <f>HYPERLINK("https://twitter.com/mentxudripos/status/1070267104790831105","1070267104790831105")</f>
        <v>1070267104790831105</v>
      </c>
      <c r="F1816" s="13" t="s">
        <v>7258</v>
      </c>
      <c r="G1816" s="13" t="s">
        <v>7259</v>
      </c>
      <c r="H1816" s="11"/>
      <c r="I1816" s="14">
        <v>0</v>
      </c>
      <c r="J1816" s="14">
        <v>0</v>
      </c>
      <c r="K1816" s="15" t="str">
        <f>HYPERLINK("https://ifttt.com","IFTTT")</f>
        <v>IFTTT</v>
      </c>
      <c r="L1816" s="14">
        <v>620</v>
      </c>
      <c r="M1816" s="14">
        <v>562</v>
      </c>
      <c r="N1816" s="14">
        <v>31</v>
      </c>
      <c r="O1816" s="16"/>
      <c r="P1816" s="6">
        <v>39956.724722222221</v>
      </c>
      <c r="Q1816" s="12" t="s">
        <v>508</v>
      </c>
      <c r="R1816" s="17" t="s">
        <v>7260</v>
      </c>
      <c r="S1816" s="11"/>
      <c r="T1816" s="11"/>
      <c r="U1816" s="10" t="str">
        <f>HYPERLINK("https://pbs.twimg.com/profile_images/968158915530838016/d710fCSP.jpg","View")</f>
        <v>View</v>
      </c>
    </row>
    <row r="1817" spans="1:21" ht="40.799999999999997">
      <c r="A1817" s="6">
        <v>43439.483275462961</v>
      </c>
      <c r="B1817" s="7" t="str">
        <f>HYPERLINK("https://twitter.com/Puto_Rmadrid","@Puto_Rmadrid")</f>
        <v>@Puto_Rmadrid</v>
      </c>
      <c r="C1817" s="8" t="s">
        <v>5934</v>
      </c>
      <c r="D1817" s="9" t="s">
        <v>5935</v>
      </c>
      <c r="E1817" s="10" t="str">
        <f>HYPERLINK("https://twitter.com/Puto_Rmadrid/status/1070265503325802496","1070265503325802496")</f>
        <v>1070265503325802496</v>
      </c>
      <c r="F1817" s="12" t="s">
        <v>2194</v>
      </c>
      <c r="G1817" s="11"/>
      <c r="H1817" s="11"/>
      <c r="I1817" s="14">
        <v>0</v>
      </c>
      <c r="J1817" s="14">
        <v>0</v>
      </c>
      <c r="K1817" s="15" t="str">
        <f t="shared" ref="K1817:K1820" si="360">HYPERLINK("http://twitter.com/download/iphone","Twitter for iPhone")</f>
        <v>Twitter for iPhone</v>
      </c>
      <c r="L1817" s="14">
        <v>691</v>
      </c>
      <c r="M1817" s="14">
        <v>2077</v>
      </c>
      <c r="N1817" s="14">
        <v>4</v>
      </c>
      <c r="O1817" s="16"/>
      <c r="P1817" s="6">
        <v>41425.615694444445</v>
      </c>
      <c r="Q1817" s="12" t="s">
        <v>5939</v>
      </c>
      <c r="R1817" s="17" t="s">
        <v>5940</v>
      </c>
      <c r="S1817" s="11"/>
      <c r="T1817" s="11"/>
      <c r="U1817" s="10" t="str">
        <f>HYPERLINK("https://pbs.twimg.com/profile_images/1013718227724197889/Q7czVS7Y.jpg","View")</f>
        <v>View</v>
      </c>
    </row>
    <row r="1818" spans="1:21" ht="40.799999999999997">
      <c r="A1818" s="6">
        <v>43439.478252314817</v>
      </c>
      <c r="B1818" s="7" t="str">
        <f>HYPERLINK("https://twitter.com/josedemedina2","@josedemedina2")</f>
        <v>@josedemedina2</v>
      </c>
      <c r="C1818" s="8" t="s">
        <v>5942</v>
      </c>
      <c r="D1818" s="9" t="s">
        <v>5943</v>
      </c>
      <c r="E1818" s="10" t="str">
        <f>HYPERLINK("https://twitter.com/josedemedina2/status/1070263684507820033","1070263684507820033")</f>
        <v>1070263684507820033</v>
      </c>
      <c r="F1818" s="12" t="s">
        <v>5944</v>
      </c>
      <c r="G1818" s="11"/>
      <c r="H1818" s="11"/>
      <c r="I1818" s="14">
        <v>0</v>
      </c>
      <c r="J1818" s="14">
        <v>0</v>
      </c>
      <c r="K1818" s="15" t="str">
        <f t="shared" si="360"/>
        <v>Twitter for iPhone</v>
      </c>
      <c r="L1818" s="14">
        <v>87</v>
      </c>
      <c r="M1818" s="14">
        <v>610</v>
      </c>
      <c r="N1818" s="14">
        <v>0</v>
      </c>
      <c r="O1818" s="16"/>
      <c r="P1818" s="6">
        <v>41527.947557870371</v>
      </c>
      <c r="Q1818" s="12" t="s">
        <v>5945</v>
      </c>
      <c r="R1818" s="17" t="s">
        <v>5946</v>
      </c>
      <c r="S1818" s="11"/>
      <c r="T1818" s="11"/>
      <c r="U1818" s="10" t="str">
        <f>HYPERLINK("https://pbs.twimg.com/profile_images/854701096262041600/0zjZO_OV.jpg","View")</f>
        <v>View</v>
      </c>
    </row>
    <row r="1819" spans="1:21" ht="61.2">
      <c r="A1819" s="6">
        <v>43439.476863425924</v>
      </c>
      <c r="B1819" s="7" t="str">
        <f>HYPERLINK("https://twitter.com/martagg82","@martagg82")</f>
        <v>@martagg82</v>
      </c>
      <c r="C1819" s="8" t="s">
        <v>7266</v>
      </c>
      <c r="D1819" s="9" t="s">
        <v>7268</v>
      </c>
      <c r="E1819" s="10" t="str">
        <f>HYPERLINK("https://twitter.com/martagg82/status/1070263179140313089","1070263179140313089")</f>
        <v>1070263179140313089</v>
      </c>
      <c r="F1819" s="11"/>
      <c r="G1819" s="11"/>
      <c r="H1819" s="11"/>
      <c r="I1819" s="14">
        <v>2</v>
      </c>
      <c r="J1819" s="14">
        <v>2</v>
      </c>
      <c r="K1819" s="15" t="str">
        <f t="shared" si="360"/>
        <v>Twitter for iPhone</v>
      </c>
      <c r="L1819" s="14">
        <v>1735</v>
      </c>
      <c r="M1819" s="14">
        <v>2002</v>
      </c>
      <c r="N1819" s="14">
        <v>51</v>
      </c>
      <c r="O1819" s="16"/>
      <c r="P1819" s="6">
        <v>40365.584560185183</v>
      </c>
      <c r="Q1819" s="12" t="s">
        <v>7269</v>
      </c>
      <c r="R1819" s="17" t="s">
        <v>7270</v>
      </c>
      <c r="S1819" s="13" t="s">
        <v>7271</v>
      </c>
      <c r="T1819" s="11"/>
      <c r="U1819" s="10" t="str">
        <f>HYPERLINK("https://pbs.twimg.com/profile_images/1060653853392203776/vyj4S2BO.jpg","View")</f>
        <v>View</v>
      </c>
    </row>
    <row r="1820" spans="1:21" ht="102">
      <c r="A1820" s="6">
        <v>43439.475810185184</v>
      </c>
      <c r="B1820" s="7" t="str">
        <f>HYPERLINK("https://twitter.com/ivgoes","@ivgoes")</f>
        <v>@ivgoes</v>
      </c>
      <c r="C1820" s="8" t="s">
        <v>7274</v>
      </c>
      <c r="D1820" s="9" t="s">
        <v>7275</v>
      </c>
      <c r="E1820" s="10" t="str">
        <f>HYPERLINK("https://twitter.com/ivgoes/status/1070262799253819392","1070262799253819392")</f>
        <v>1070262799253819392</v>
      </c>
      <c r="F1820" s="13" t="s">
        <v>7277</v>
      </c>
      <c r="G1820" s="11"/>
      <c r="H1820" s="11"/>
      <c r="I1820" s="14">
        <v>10</v>
      </c>
      <c r="J1820" s="14">
        <v>33</v>
      </c>
      <c r="K1820" s="15" t="str">
        <f t="shared" si="360"/>
        <v>Twitter for iPhone</v>
      </c>
      <c r="L1820" s="14">
        <v>726</v>
      </c>
      <c r="M1820" s="14">
        <v>830</v>
      </c>
      <c r="N1820" s="14">
        <v>7</v>
      </c>
      <c r="O1820" s="16"/>
      <c r="P1820" s="6">
        <v>42301.991990740746</v>
      </c>
      <c r="Q1820" s="12" t="s">
        <v>7278</v>
      </c>
      <c r="R1820" s="17" t="s">
        <v>7279</v>
      </c>
      <c r="S1820" s="11"/>
      <c r="T1820" s="11"/>
      <c r="U1820" s="10" t="str">
        <f>HYPERLINK("https://pbs.twimg.com/profile_images/1066747778720776192/2zTXg44N.jpg","View")</f>
        <v>View</v>
      </c>
    </row>
    <row r="1821" spans="1:21" ht="51">
      <c r="A1821" s="6">
        <v>43439.474085648151</v>
      </c>
      <c r="B1821" s="7" t="str">
        <f>HYPERLINK("https://twitter.com/elfary74","@elfary74")</f>
        <v>@elfary74</v>
      </c>
      <c r="C1821" s="8" t="s">
        <v>4736</v>
      </c>
      <c r="D1821" s="9" t="s">
        <v>5949</v>
      </c>
      <c r="E1821" s="10" t="str">
        <f>HYPERLINK("https://twitter.com/elfary74/status/1070262173857914885","1070262173857914885")</f>
        <v>1070262173857914885</v>
      </c>
      <c r="F1821" s="11"/>
      <c r="G1821" s="11"/>
      <c r="H1821" s="11"/>
      <c r="I1821" s="14">
        <v>0</v>
      </c>
      <c r="J1821" s="14">
        <v>0</v>
      </c>
      <c r="K1821" s="15" t="str">
        <f>HYPERLINK("https://mobile.twitter.com","Twitter Lite")</f>
        <v>Twitter Lite</v>
      </c>
      <c r="L1821" s="14">
        <v>196</v>
      </c>
      <c r="M1821" s="14">
        <v>298</v>
      </c>
      <c r="N1821" s="14">
        <v>2</v>
      </c>
      <c r="O1821" s="16"/>
      <c r="P1821" s="6">
        <v>40008.400127314817</v>
      </c>
      <c r="Q1821" s="12" t="s">
        <v>29</v>
      </c>
      <c r="R1821" s="17" t="s">
        <v>5950</v>
      </c>
      <c r="S1821" s="11"/>
      <c r="T1821" s="11"/>
      <c r="U1821" s="10" t="str">
        <f>HYPERLINK("https://pbs.twimg.com/profile_images/1047549534539276288/6RsyeDiZ.jpg","View")</f>
        <v>View</v>
      </c>
    </row>
    <row r="1822" spans="1:21" ht="20.399999999999999">
      <c r="A1822" s="6">
        <v>43439.473263888889</v>
      </c>
      <c r="B1822" s="7" t="str">
        <f>HYPERLINK("https://twitter.com/RatioVero","@RatioVero")</f>
        <v>@RatioVero</v>
      </c>
      <c r="C1822" s="8" t="s">
        <v>7284</v>
      </c>
      <c r="D1822" s="9" t="s">
        <v>7285</v>
      </c>
      <c r="E1822" s="10" t="str">
        <f>HYPERLINK("https://twitter.com/RatioVero/status/1070261876817317888","1070261876817317888")</f>
        <v>1070261876817317888</v>
      </c>
      <c r="F1822" s="11"/>
      <c r="G1822" s="13" t="s">
        <v>7286</v>
      </c>
      <c r="H1822" s="11"/>
      <c r="I1822" s="14">
        <v>0</v>
      </c>
      <c r="J1822" s="14">
        <v>0</v>
      </c>
      <c r="K1822" s="15" t="str">
        <f>HYPERLINK("http://twitter.com/download/android","Twitter for Android")</f>
        <v>Twitter for Android</v>
      </c>
      <c r="L1822" s="14">
        <v>512</v>
      </c>
      <c r="M1822" s="14">
        <v>496</v>
      </c>
      <c r="N1822" s="14">
        <v>2</v>
      </c>
      <c r="O1822" s="16"/>
      <c r="P1822" s="6">
        <v>43018.911099537036</v>
      </c>
      <c r="Q1822" s="12" t="s">
        <v>231</v>
      </c>
      <c r="R1822" s="17" t="s">
        <v>7287</v>
      </c>
      <c r="S1822" s="11"/>
      <c r="T1822" s="11"/>
      <c r="U1822" s="10" t="str">
        <f>HYPERLINK("https://pbs.twimg.com/profile_images/1054812851641180161/hpRisvAE.jpg","View")</f>
        <v>View</v>
      </c>
    </row>
    <row r="1823" spans="1:21" ht="40.799999999999997">
      <c r="A1823" s="6">
        <v>43439.472766203704</v>
      </c>
      <c r="B1823" s="7" t="str">
        <f>HYPERLINK("https://twitter.com/enriquedediegov","@enriquedediegov")</f>
        <v>@enriquedediegov</v>
      </c>
      <c r="C1823" s="8" t="s">
        <v>5108</v>
      </c>
      <c r="D1823" s="9" t="s">
        <v>5109</v>
      </c>
      <c r="E1823" s="10" t="str">
        <f>HYPERLINK("https://twitter.com/enriquedediegov/status/1070261697292787712","1070261697292787712")</f>
        <v>1070261697292787712</v>
      </c>
      <c r="F1823" s="13" t="s">
        <v>7290</v>
      </c>
      <c r="G1823" s="11"/>
      <c r="H1823" s="11"/>
      <c r="I1823" s="14">
        <v>0</v>
      </c>
      <c r="J1823" s="14">
        <v>0</v>
      </c>
      <c r="K1823" s="15" t="str">
        <f>HYPERLINK("http://twitter.com","Twitter Web Client")</f>
        <v>Twitter Web Client</v>
      </c>
      <c r="L1823" s="14">
        <v>7792</v>
      </c>
      <c r="M1823" s="14">
        <v>6053</v>
      </c>
      <c r="N1823" s="14">
        <v>179</v>
      </c>
      <c r="O1823" s="16"/>
      <c r="P1823" s="6">
        <v>41293.717129629629</v>
      </c>
      <c r="Q1823" s="12" t="s">
        <v>137</v>
      </c>
      <c r="R1823" s="17" t="s">
        <v>5113</v>
      </c>
      <c r="S1823" s="13" t="s">
        <v>5114</v>
      </c>
      <c r="T1823" s="11"/>
      <c r="U1823" s="10" t="str">
        <f>HYPERLINK("https://pbs.twimg.com/profile_images/3129623790/4ae197d01442e05dee4622297c3b9642.jpeg","View")</f>
        <v>View</v>
      </c>
    </row>
    <row r="1824" spans="1:21" ht="40.799999999999997">
      <c r="A1824" s="6">
        <v>43439.471574074079</v>
      </c>
      <c r="B1824" s="7" t="str">
        <f>HYPERLINK("https://twitter.com/maxpradera","@maxpradera")</f>
        <v>@maxpradera</v>
      </c>
      <c r="C1824" s="8" t="s">
        <v>5953</v>
      </c>
      <c r="D1824" s="9" t="s">
        <v>5954</v>
      </c>
      <c r="E1824" s="10" t="str">
        <f>HYPERLINK("https://twitter.com/maxpradera/status/1070261264667033600","1070261264667033600")</f>
        <v>1070261264667033600</v>
      </c>
      <c r="F1824" s="13" t="s">
        <v>5956</v>
      </c>
      <c r="G1824" s="11"/>
      <c r="H1824" s="11"/>
      <c r="I1824" s="14">
        <v>120</v>
      </c>
      <c r="J1824" s="14">
        <v>184</v>
      </c>
      <c r="K1824" s="15" t="str">
        <f>HYPERLINK("http://twitter.com/download/iphone","Twitter for iPhone")</f>
        <v>Twitter for iPhone</v>
      </c>
      <c r="L1824" s="14">
        <v>101901</v>
      </c>
      <c r="M1824" s="14">
        <v>1775</v>
      </c>
      <c r="N1824" s="14">
        <v>1606</v>
      </c>
      <c r="O1824" s="19" t="s">
        <v>42</v>
      </c>
      <c r="P1824" s="6">
        <v>40702.053414351853</v>
      </c>
      <c r="Q1824" s="12" t="s">
        <v>5957</v>
      </c>
      <c r="R1824" s="17" t="s">
        <v>5958</v>
      </c>
      <c r="S1824" s="13" t="s">
        <v>5959</v>
      </c>
      <c r="T1824" s="11"/>
      <c r="U1824" s="10" t="str">
        <f>HYPERLINK("https://pbs.twimg.com/profile_images/1065382057319243777/G0W1w4Ng.jpg","View")</f>
        <v>View</v>
      </c>
    </row>
    <row r="1825" spans="1:21" ht="40.799999999999997">
      <c r="A1825" s="6">
        <v>43439.471562499995</v>
      </c>
      <c r="B1825" s="7" t="str">
        <f>HYPERLINK("https://twitter.com/voxnoticias_es","@voxnoticias_es")</f>
        <v>@voxnoticias_es</v>
      </c>
      <c r="C1825" s="8" t="s">
        <v>7295</v>
      </c>
      <c r="D1825" s="9" t="s">
        <v>7296</v>
      </c>
      <c r="E1825" s="10" t="str">
        <f>HYPERLINK("https://twitter.com/voxnoticias_es/status/1070261258538995712","1070261258538995712")</f>
        <v>1070261258538995712</v>
      </c>
      <c r="F1825" s="11"/>
      <c r="G1825" s="13" t="s">
        <v>5475</v>
      </c>
      <c r="H1825" s="11"/>
      <c r="I1825" s="14">
        <v>188</v>
      </c>
      <c r="J1825" s="14">
        <v>320</v>
      </c>
      <c r="K1825" s="15" t="str">
        <f>HYPERLINK("http://twitter.com/download/android","Twitter for Android")</f>
        <v>Twitter for Android</v>
      </c>
      <c r="L1825" s="14">
        <v>21628</v>
      </c>
      <c r="M1825" s="14">
        <v>2131</v>
      </c>
      <c r="N1825" s="14">
        <v>145</v>
      </c>
      <c r="O1825" s="16"/>
      <c r="P1825" s="6">
        <v>41687.875428240739</v>
      </c>
      <c r="Q1825" s="12" t="s">
        <v>7298</v>
      </c>
      <c r="R1825" s="17" t="s">
        <v>7299</v>
      </c>
      <c r="S1825" s="13" t="s">
        <v>7300</v>
      </c>
      <c r="T1825" s="11"/>
      <c r="U1825" s="10" t="str">
        <f>HYPERLINK("https://pbs.twimg.com/profile_images/900432165195980801/-2-6PzuU.jpg","View")</f>
        <v>View</v>
      </c>
    </row>
    <row r="1826" spans="1:21" ht="51">
      <c r="A1826" s="6">
        <v>43439.468587962961</v>
      </c>
      <c r="B1826" s="7" t="str">
        <f>HYPERLINK("https://twitter.com/CsCValenciana","@CsCValenciana")</f>
        <v>@CsCValenciana</v>
      </c>
      <c r="C1826" s="8" t="s">
        <v>2079</v>
      </c>
      <c r="D1826" s="9" t="s">
        <v>5962</v>
      </c>
      <c r="E1826" s="10" t="str">
        <f>HYPERLINK("https://twitter.com/CsCValenciana/status/1070260179973877760","1070260179973877760")</f>
        <v>1070260179973877760</v>
      </c>
      <c r="F1826" s="13" t="s">
        <v>2902</v>
      </c>
      <c r="G1826" s="13" t="s">
        <v>5963</v>
      </c>
      <c r="H1826" s="11"/>
      <c r="I1826" s="14">
        <v>16</v>
      </c>
      <c r="J1826" s="14">
        <v>12</v>
      </c>
      <c r="K1826" s="15" t="str">
        <f>HYPERLINK("http://twitter.com","Twitter Web Client")</f>
        <v>Twitter Web Client</v>
      </c>
      <c r="L1826" s="14">
        <v>12324</v>
      </c>
      <c r="M1826" s="14">
        <v>4351</v>
      </c>
      <c r="N1826" s="14">
        <v>154</v>
      </c>
      <c r="O1826" s="19" t="s">
        <v>42</v>
      </c>
      <c r="P1826" s="6">
        <v>41398.006712962961</v>
      </c>
      <c r="Q1826" s="12" t="s">
        <v>2088</v>
      </c>
      <c r="R1826" s="17" t="s">
        <v>2089</v>
      </c>
      <c r="S1826" s="13" t="s">
        <v>2090</v>
      </c>
      <c r="T1826" s="11"/>
      <c r="U1826" s="10" t="str">
        <f>HYPERLINK("https://pbs.twimg.com/profile_images/1053541731621314560/AVBbU4uK.jpg","View")</f>
        <v>View</v>
      </c>
    </row>
    <row r="1827" spans="1:21" ht="30.6">
      <c r="A1827" s="6">
        <v>43439.468055555553</v>
      </c>
      <c r="B1827" s="7" t="str">
        <f>HYPERLINK("https://twitter.com/elprogramadear","@elprogramadear")</f>
        <v>@elprogramadear</v>
      </c>
      <c r="C1827" s="8" t="s">
        <v>7303</v>
      </c>
      <c r="D1827" s="9" t="s">
        <v>7304</v>
      </c>
      <c r="E1827" s="10" t="str">
        <f>HYPERLINK("https://twitter.com/elprogramadear/status/1070259987136593920","1070259987136593920")</f>
        <v>1070259987136593920</v>
      </c>
      <c r="F1827" s="13" t="s">
        <v>7307</v>
      </c>
      <c r="G1827" s="13" t="s">
        <v>7308</v>
      </c>
      <c r="H1827" s="11"/>
      <c r="I1827" s="14">
        <v>144</v>
      </c>
      <c r="J1827" s="14">
        <v>324</v>
      </c>
      <c r="K1827" s="15" t="str">
        <f>HYPERLINK("https://about.twitter.com/products/tweetdeck","TweetDeck")</f>
        <v>TweetDeck</v>
      </c>
      <c r="L1827" s="14">
        <v>261941</v>
      </c>
      <c r="M1827" s="14">
        <v>425</v>
      </c>
      <c r="N1827" s="14">
        <v>722</v>
      </c>
      <c r="O1827" s="19" t="s">
        <v>42</v>
      </c>
      <c r="P1827" s="6">
        <v>40589.664733796293</v>
      </c>
      <c r="Q1827" s="12" t="s">
        <v>2831</v>
      </c>
      <c r="R1827" s="17" t="s">
        <v>7309</v>
      </c>
      <c r="S1827" s="13" t="s">
        <v>7310</v>
      </c>
      <c r="T1827" s="11"/>
      <c r="U1827" s="10" t="str">
        <f>HYPERLINK("https://pbs.twimg.com/profile_images/1038202480704872448/XwU_Ptt1.jpg","View")</f>
        <v>View</v>
      </c>
    </row>
    <row r="1828" spans="1:21" ht="102">
      <c r="A1828" s="6">
        <v>43439.467719907407</v>
      </c>
      <c r="B1828" s="7" t="str">
        <f>HYPERLINK("https://twitter.com/FernandodPablo","@FernandodPablo")</f>
        <v>@FernandodPablo</v>
      </c>
      <c r="C1828" s="8" t="s">
        <v>5964</v>
      </c>
      <c r="D1828" s="9" t="s">
        <v>5965</v>
      </c>
      <c r="E1828" s="10" t="str">
        <f>HYPERLINK("https://twitter.com/FernandodPablo/status/1070259866646835200","1070259866646835200")</f>
        <v>1070259866646835200</v>
      </c>
      <c r="F1828" s="13" t="s">
        <v>5968</v>
      </c>
      <c r="G1828" s="11"/>
      <c r="H1828" s="11"/>
      <c r="I1828" s="14">
        <v>2</v>
      </c>
      <c r="J1828" s="14">
        <v>1</v>
      </c>
      <c r="K1828" s="15" t="str">
        <f t="shared" ref="K1828:K1830" si="361">HYPERLINK("http://twitter.com/download/android","Twitter for Android")</f>
        <v>Twitter for Android</v>
      </c>
      <c r="L1828" s="14">
        <v>454</v>
      </c>
      <c r="M1828" s="14">
        <v>239</v>
      </c>
      <c r="N1828" s="14">
        <v>44</v>
      </c>
      <c r="O1828" s="16"/>
      <c r="P1828" s="6">
        <v>41248.46539351852</v>
      </c>
      <c r="Q1828" s="11"/>
      <c r="R1828" s="17" t="s">
        <v>5971</v>
      </c>
      <c r="S1828" s="11"/>
      <c r="T1828" s="11"/>
      <c r="U1828" s="10" t="str">
        <f>HYPERLINK("https://pbs.twimg.com/profile_images/980733472271749122/pxEjxi9v.jpg","View")</f>
        <v>View</v>
      </c>
    </row>
    <row r="1829" spans="1:21" ht="51">
      <c r="A1829" s="6">
        <v>43439.467314814814</v>
      </c>
      <c r="B1829" s="7" t="str">
        <f>HYPERLINK("https://twitter.com/Mggdip","@Mggdip")</f>
        <v>@Mggdip</v>
      </c>
      <c r="C1829" s="8" t="s">
        <v>5972</v>
      </c>
      <c r="D1829" s="9" t="s">
        <v>5974</v>
      </c>
      <c r="E1829" s="10" t="str">
        <f>HYPERLINK("https://twitter.com/Mggdip/status/1070259720383021056","1070259720383021056")</f>
        <v>1070259720383021056</v>
      </c>
      <c r="F1829" s="11"/>
      <c r="G1829" s="11"/>
      <c r="H1829" s="11"/>
      <c r="I1829" s="14">
        <v>0</v>
      </c>
      <c r="J1829" s="14">
        <v>1</v>
      </c>
      <c r="K1829" s="15" t="str">
        <f t="shared" si="361"/>
        <v>Twitter for Android</v>
      </c>
      <c r="L1829" s="14">
        <v>1061</v>
      </c>
      <c r="M1829" s="14">
        <v>1089</v>
      </c>
      <c r="N1829" s="14">
        <v>14</v>
      </c>
      <c r="O1829" s="16"/>
      <c r="P1829" s="6">
        <v>41777.538888888885</v>
      </c>
      <c r="Q1829" s="11"/>
      <c r="R1829" s="17" t="s">
        <v>5976</v>
      </c>
      <c r="S1829" s="11"/>
      <c r="T1829" s="11"/>
      <c r="U1829" s="10" t="str">
        <f>HYPERLINK("https://pbs.twimg.com/profile_images/954416269570256896/QkTHd6wX.jpg","View")</f>
        <v>View</v>
      </c>
    </row>
    <row r="1830" spans="1:21" ht="30.6">
      <c r="A1830" s="6">
        <v>43439.466574074075</v>
      </c>
      <c r="B1830" s="7" t="str">
        <f>HYPERLINK("https://twitter.com/VdeRuben","@VdeRuben")</f>
        <v>@VdeRuben</v>
      </c>
      <c r="C1830" s="8" t="s">
        <v>7313</v>
      </c>
      <c r="D1830" s="9" t="s">
        <v>7314</v>
      </c>
      <c r="E1830" s="10" t="str">
        <f>HYPERLINK("https://twitter.com/VdeRuben/status/1070259451955986432","1070259451955986432")</f>
        <v>1070259451955986432</v>
      </c>
      <c r="F1830" s="13" t="s">
        <v>7315</v>
      </c>
      <c r="G1830" s="11"/>
      <c r="H1830" s="11"/>
      <c r="I1830" s="14">
        <v>0</v>
      </c>
      <c r="J1830" s="14">
        <v>0</v>
      </c>
      <c r="K1830" s="15" t="str">
        <f t="shared" si="361"/>
        <v>Twitter for Android</v>
      </c>
      <c r="L1830" s="14">
        <v>2078</v>
      </c>
      <c r="M1830" s="14">
        <v>604</v>
      </c>
      <c r="N1830" s="14">
        <v>35</v>
      </c>
      <c r="O1830" s="16"/>
      <c r="P1830" s="6">
        <v>41044.432314814811</v>
      </c>
      <c r="Q1830" s="12" t="s">
        <v>7317</v>
      </c>
      <c r="R1830" s="17" t="s">
        <v>7318</v>
      </c>
      <c r="S1830" s="11"/>
      <c r="T1830" s="11"/>
      <c r="U1830" s="10" t="str">
        <f>HYPERLINK("https://pbs.twimg.com/profile_images/897131882210570273/ztVs4LG1.jpg","View")</f>
        <v>View</v>
      </c>
    </row>
    <row r="1831" spans="1:21" ht="20.399999999999999">
      <c r="A1831" s="6">
        <v>43439.463067129633</v>
      </c>
      <c r="B1831" s="7" t="str">
        <f>HYPERLINK("https://twitter.com/NacionalAlerta","@NacionalAlerta")</f>
        <v>@NacionalAlerta</v>
      </c>
      <c r="C1831" s="8" t="s">
        <v>7320</v>
      </c>
      <c r="D1831" s="9" t="s">
        <v>7321</v>
      </c>
      <c r="E1831" s="10" t="str">
        <f>HYPERLINK("https://twitter.com/NacionalAlerta/status/1070258179664039941","1070258179664039941")</f>
        <v>1070258179664039941</v>
      </c>
      <c r="F1831" s="13" t="s">
        <v>7322</v>
      </c>
      <c r="G1831" s="13" t="s">
        <v>7323</v>
      </c>
      <c r="H1831" s="11"/>
      <c r="I1831" s="14">
        <v>0</v>
      </c>
      <c r="J1831" s="14">
        <v>1</v>
      </c>
      <c r="K1831" s="15" t="str">
        <f>HYPERLINK("http://publicize.wp.com/","WordPress.com")</f>
        <v>WordPress.com</v>
      </c>
      <c r="L1831" s="14">
        <v>75</v>
      </c>
      <c r="M1831" s="14">
        <v>27</v>
      </c>
      <c r="N1831" s="14">
        <v>2</v>
      </c>
      <c r="O1831" s="16"/>
      <c r="P1831" s="6">
        <v>43361.719618055555</v>
      </c>
      <c r="Q1831" s="12" t="s">
        <v>137</v>
      </c>
      <c r="R1831" s="18"/>
      <c r="S1831" s="13" t="s">
        <v>7325</v>
      </c>
      <c r="T1831" s="11"/>
      <c r="U1831" s="10" t="str">
        <f>HYPERLINK("https://pbs.twimg.com/profile_images/1042072480435847169/mB0J8NN0.jpg","View")</f>
        <v>View</v>
      </c>
    </row>
    <row r="1832" spans="1:21" ht="40.799999999999997">
      <c r="A1832" s="6">
        <v>43439.46266203704</v>
      </c>
      <c r="B1832" s="7" t="str">
        <f>HYPERLINK("https://twitter.com/DavEscKing","@DavEscKing")</f>
        <v>@DavEscKing</v>
      </c>
      <c r="C1832" s="8" t="s">
        <v>5979</v>
      </c>
      <c r="D1832" s="9" t="s">
        <v>5980</v>
      </c>
      <c r="E1832" s="10" t="str">
        <f>HYPERLINK("https://twitter.com/DavEscKing/status/1070258035841556482","1070258035841556482")</f>
        <v>1070258035841556482</v>
      </c>
      <c r="F1832" s="11"/>
      <c r="G1832" s="13" t="s">
        <v>5982</v>
      </c>
      <c r="H1832" s="11"/>
      <c r="I1832" s="14">
        <v>1</v>
      </c>
      <c r="J1832" s="14">
        <v>2</v>
      </c>
      <c r="K1832" s="15" t="str">
        <f>HYPERLINK("http://twitter.com/download/android","Twitter for Android")</f>
        <v>Twitter for Android</v>
      </c>
      <c r="L1832" s="14">
        <v>51</v>
      </c>
      <c r="M1832" s="14">
        <v>231</v>
      </c>
      <c r="N1832" s="14">
        <v>0</v>
      </c>
      <c r="O1832" s="16"/>
      <c r="P1832" s="6">
        <v>40664.921550925923</v>
      </c>
      <c r="Q1832" s="12" t="s">
        <v>5986</v>
      </c>
      <c r="R1832" s="17" t="s">
        <v>5987</v>
      </c>
      <c r="S1832" s="11"/>
      <c r="T1832" s="11"/>
      <c r="U1832" s="10" t="str">
        <f>HYPERLINK("https://pbs.twimg.com/profile_images/969189292378591234/twZNZ-h8.jpg","View")</f>
        <v>View</v>
      </c>
    </row>
    <row r="1833" spans="1:21" ht="51">
      <c r="A1833" s="6">
        <v>43439.462094907409</v>
      </c>
      <c r="B1833" s="7" t="str">
        <f>HYPERLINK("https://twitter.com/VotaCiudadanos","@VotaCiudadanos")</f>
        <v>@VotaCiudadanos</v>
      </c>
      <c r="C1833" s="8" t="s">
        <v>7330</v>
      </c>
      <c r="D1833" s="9" t="s">
        <v>7331</v>
      </c>
      <c r="E1833" s="10" t="str">
        <f>HYPERLINK("https://twitter.com/VotaCiudadanos/status/1070257827510407169","1070257827510407169")</f>
        <v>1070257827510407169</v>
      </c>
      <c r="F1833" s="13" t="s">
        <v>3809</v>
      </c>
      <c r="G1833" s="13" t="s">
        <v>7334</v>
      </c>
      <c r="H1833" s="11"/>
      <c r="I1833" s="14">
        <v>5</v>
      </c>
      <c r="J1833" s="14">
        <v>4</v>
      </c>
      <c r="K1833" s="15" t="str">
        <f>HYPERLINK("http://twitter.com","Twitter Web Client")</f>
        <v>Twitter Web Client</v>
      </c>
      <c r="L1833" s="14">
        <v>1874</v>
      </c>
      <c r="M1833" s="14">
        <v>198</v>
      </c>
      <c r="N1833" s="14">
        <v>26</v>
      </c>
      <c r="O1833" s="16"/>
      <c r="P1833" s="6">
        <v>42318.889432870375</v>
      </c>
      <c r="Q1833" s="12" t="s">
        <v>7335</v>
      </c>
      <c r="R1833" s="17" t="s">
        <v>7337</v>
      </c>
      <c r="S1833" s="13" t="s">
        <v>822</v>
      </c>
      <c r="T1833" s="11"/>
      <c r="U1833" s="10" t="str">
        <f>HYPERLINK("https://pbs.twimg.com/profile_images/948620265965215745/eZupLWK2.jpg","View")</f>
        <v>View</v>
      </c>
    </row>
    <row r="1834" spans="1:21" ht="30.6">
      <c r="A1834" s="6">
        <v>43439.460682870369</v>
      </c>
      <c r="B1834" s="7" t="str">
        <f>HYPERLINK("https://twitter.com/gara_ice","@gara_ice")</f>
        <v>@gara_ice</v>
      </c>
      <c r="C1834" s="8" t="s">
        <v>7339</v>
      </c>
      <c r="D1834" s="9" t="s">
        <v>7340</v>
      </c>
      <c r="E1834" s="10" t="str">
        <f>HYPERLINK("https://twitter.com/gara_ice/status/1070257318795927552","1070257318795927552")</f>
        <v>1070257318795927552</v>
      </c>
      <c r="F1834" s="13" t="s">
        <v>7342</v>
      </c>
      <c r="G1834" s="11"/>
      <c r="H1834" s="11"/>
      <c r="I1834" s="14">
        <v>0</v>
      </c>
      <c r="J1834" s="14">
        <v>0</v>
      </c>
      <c r="K1834" s="15" t="str">
        <f>HYPERLINK("https://ifttt.com","IFTTT")</f>
        <v>IFTTT</v>
      </c>
      <c r="L1834" s="14">
        <v>450</v>
      </c>
      <c r="M1834" s="14">
        <v>434</v>
      </c>
      <c r="N1834" s="14">
        <v>10</v>
      </c>
      <c r="O1834" s="16"/>
      <c r="P1834" s="6">
        <v>39590.435324074075</v>
      </c>
      <c r="Q1834" s="11"/>
      <c r="R1834" s="18"/>
      <c r="S1834" s="11"/>
      <c r="T1834" s="11"/>
      <c r="U1834" s="10" t="str">
        <f>HYPERLINK("https://pbs.twimg.com/profile_images/561850533468971008/-4f3cnLr.jpeg","View")</f>
        <v>View</v>
      </c>
    </row>
    <row r="1835" spans="1:21" ht="51">
      <c r="A1835" s="6">
        <v>43439.45930555556</v>
      </c>
      <c r="B1835" s="7" t="str">
        <f>HYPERLINK("https://twitter.com/CsSantAndreu","@CsSantAndreu")</f>
        <v>@CsSantAndreu</v>
      </c>
      <c r="C1835" s="8" t="s">
        <v>5991</v>
      </c>
      <c r="D1835" s="9" t="s">
        <v>5992</v>
      </c>
      <c r="E1835" s="10" t="str">
        <f>HYPERLINK("https://twitter.com/CsSantAndreu/status/1070256816809013248","1070256816809013248")</f>
        <v>1070256816809013248</v>
      </c>
      <c r="F1835" s="11"/>
      <c r="G1835" s="13" t="s">
        <v>5993</v>
      </c>
      <c r="H1835" s="11"/>
      <c r="I1835" s="14">
        <v>4</v>
      </c>
      <c r="J1835" s="14">
        <v>6</v>
      </c>
      <c r="K1835" s="15" t="str">
        <f>HYPERLINK("http://twitter.com/#!/download/ipad","Twitter for iPad")</f>
        <v>Twitter for iPad</v>
      </c>
      <c r="L1835" s="14">
        <v>3228</v>
      </c>
      <c r="M1835" s="14">
        <v>2408</v>
      </c>
      <c r="N1835" s="14">
        <v>60</v>
      </c>
      <c r="O1835" s="16"/>
      <c r="P1835" s="6">
        <v>41316.5234375</v>
      </c>
      <c r="Q1835" s="11"/>
      <c r="R1835" s="17" t="s">
        <v>5994</v>
      </c>
      <c r="S1835" s="13" t="s">
        <v>493</v>
      </c>
      <c r="T1835" s="11"/>
      <c r="U1835" s="10" t="str">
        <f>HYPERLINK("https://pbs.twimg.com/profile_images/906292005034176512/gCcSJ11-.jpg","View")</f>
        <v>View</v>
      </c>
    </row>
    <row r="1836" spans="1:21" ht="40.799999999999997">
      <c r="A1836" s="6">
        <v>43439.458726851852</v>
      </c>
      <c r="B1836" s="7" t="str">
        <f>HYPERLINK("https://twitter.com/MonicaRotllan","@MonicaRotllan")</f>
        <v>@MonicaRotllan</v>
      </c>
      <c r="C1836" s="8" t="s">
        <v>7346</v>
      </c>
      <c r="D1836" s="9" t="s">
        <v>7347</v>
      </c>
      <c r="E1836" s="10" t="str">
        <f>HYPERLINK("https://twitter.com/MonicaRotllan/status/1070256606619815936","1070256606619815936")</f>
        <v>1070256606619815936</v>
      </c>
      <c r="F1836" s="11"/>
      <c r="G1836" s="11"/>
      <c r="H1836" s="11"/>
      <c r="I1836" s="14">
        <v>0</v>
      </c>
      <c r="J1836" s="14">
        <v>0</v>
      </c>
      <c r="K1836" s="15" t="str">
        <f>HYPERLINK("http://twitter.com/download/iphone","Twitter for iPhone")</f>
        <v>Twitter for iPhone</v>
      </c>
      <c r="L1836" s="14">
        <v>456</v>
      </c>
      <c r="M1836" s="14">
        <v>1329</v>
      </c>
      <c r="N1836" s="14">
        <v>3</v>
      </c>
      <c r="O1836" s="16"/>
      <c r="P1836" s="6">
        <v>40720.486342592594</v>
      </c>
      <c r="Q1836" s="11"/>
      <c r="R1836" s="17" t="s">
        <v>7350</v>
      </c>
      <c r="S1836" s="11"/>
      <c r="T1836" s="11"/>
      <c r="U1836" s="10" t="str">
        <f>HYPERLINK("https://pbs.twimg.com/profile_images/1030948089807470593/N0kHU6mc.jpg","View")</f>
        <v>View</v>
      </c>
    </row>
    <row r="1837" spans="1:21" ht="51">
      <c r="A1837" s="6">
        <v>43439.457326388889</v>
      </c>
      <c r="B1837" s="7" t="str">
        <f>HYPERLINK("https://twitter.com/vecinodeorden","@vecinodeorden")</f>
        <v>@vecinodeorden</v>
      </c>
      <c r="C1837" s="8" t="s">
        <v>7352</v>
      </c>
      <c r="D1837" s="9" t="s">
        <v>7353</v>
      </c>
      <c r="E1837" s="10" t="str">
        <f>HYPERLINK("https://twitter.com/vecinodeorden/status/1070256100266663936","1070256100266663936")</f>
        <v>1070256100266663936</v>
      </c>
      <c r="F1837" s="11"/>
      <c r="G1837" s="11"/>
      <c r="H1837" s="11"/>
      <c r="I1837" s="14">
        <v>0</v>
      </c>
      <c r="J1837" s="14">
        <v>0</v>
      </c>
      <c r="K1837" s="15" t="str">
        <f>HYPERLINK("http://twitter.com/#!/download/ipad","Twitter for iPad")</f>
        <v>Twitter for iPad</v>
      </c>
      <c r="L1837" s="14">
        <v>356</v>
      </c>
      <c r="M1837" s="14">
        <v>518</v>
      </c>
      <c r="N1837" s="14">
        <v>11</v>
      </c>
      <c r="O1837" s="16"/>
      <c r="P1837" s="6">
        <v>41893.651273148149</v>
      </c>
      <c r="Q1837" s="12" t="s">
        <v>7354</v>
      </c>
      <c r="R1837" s="17" t="s">
        <v>7355</v>
      </c>
      <c r="S1837" s="11"/>
      <c r="T1837" s="11"/>
      <c r="U1837" s="10" t="str">
        <f>HYPERLINK("https://pbs.twimg.com/profile_images/926037200332099586/KJhWPbYO.jpg","View")</f>
        <v>View</v>
      </c>
    </row>
    <row r="1838" spans="1:21" ht="71.400000000000006">
      <c r="A1838" s="6">
        <v>43439.456423611111</v>
      </c>
      <c r="B1838" s="7" t="str">
        <f>HYPERLINK("https://twitter.com/DionisCenusa","@DionisCenusa")</f>
        <v>@DionisCenusa</v>
      </c>
      <c r="C1838" s="8" t="s">
        <v>5995</v>
      </c>
      <c r="D1838" s="9" t="s">
        <v>5996</v>
      </c>
      <c r="E1838" s="10" t="str">
        <f>HYPERLINK("https://twitter.com/DionisCenusa/status/1070255772074946560","1070255772074946560")</f>
        <v>1070255772074946560</v>
      </c>
      <c r="F1838" s="12" t="s">
        <v>5999</v>
      </c>
      <c r="G1838" s="11"/>
      <c r="H1838" s="11"/>
      <c r="I1838" s="14">
        <v>0</v>
      </c>
      <c r="J1838" s="14">
        <v>0</v>
      </c>
      <c r="K1838" s="15" t="str">
        <f>HYPERLINK("http://twitter.com/download/iphone","Twitter for iPhone")</f>
        <v>Twitter for iPhone</v>
      </c>
      <c r="L1838" s="14">
        <v>1632</v>
      </c>
      <c r="M1838" s="14">
        <v>167</v>
      </c>
      <c r="N1838" s="14">
        <v>32</v>
      </c>
      <c r="O1838" s="16"/>
      <c r="P1838" s="6">
        <v>39666.731759259259</v>
      </c>
      <c r="Q1838" s="11"/>
      <c r="R1838" s="17" t="s">
        <v>6000</v>
      </c>
      <c r="S1838" s="13" t="s">
        <v>6001</v>
      </c>
      <c r="T1838" s="11"/>
      <c r="U1838" s="10" t="str">
        <f>HYPERLINK("https://pbs.twimg.com/profile_images/1017037943498780672/KLF1K1jG.jpg","View")</f>
        <v>View</v>
      </c>
    </row>
    <row r="1839" spans="1:21" ht="40.799999999999997">
      <c r="A1839" s="6">
        <v>43439.452013888891</v>
      </c>
      <c r="B1839" s="7" t="str">
        <f>HYPERLINK("https://twitter.com/Pablo_sdc","@Pablo_sdc")</f>
        <v>@Pablo_sdc</v>
      </c>
      <c r="C1839" s="8" t="s">
        <v>6003</v>
      </c>
      <c r="D1839" s="9" t="s">
        <v>6004</v>
      </c>
      <c r="E1839" s="10" t="str">
        <f>HYPERLINK("https://twitter.com/Pablo_sdc/status/1070254174762397696","1070254174762397696")</f>
        <v>1070254174762397696</v>
      </c>
      <c r="F1839" s="11"/>
      <c r="G1839" s="13" t="s">
        <v>6007</v>
      </c>
      <c r="H1839" s="11"/>
      <c r="I1839" s="14">
        <v>0</v>
      </c>
      <c r="J1839" s="14">
        <v>0</v>
      </c>
      <c r="K1839" s="15" t="str">
        <f>HYPERLINK("http://twitter.com/#!/download/ipad","Twitter for iPad")</f>
        <v>Twitter for iPad</v>
      </c>
      <c r="L1839" s="14">
        <v>630</v>
      </c>
      <c r="M1839" s="14">
        <v>2185</v>
      </c>
      <c r="N1839" s="14">
        <v>34</v>
      </c>
      <c r="O1839" s="16"/>
      <c r="P1839" s="6">
        <v>40250.165833333333</v>
      </c>
      <c r="Q1839" s="12" t="s">
        <v>508</v>
      </c>
      <c r="R1839" s="17" t="s">
        <v>6011</v>
      </c>
      <c r="S1839" s="13" t="s">
        <v>6012</v>
      </c>
      <c r="T1839" s="11"/>
      <c r="U1839" s="10" t="str">
        <f>HYPERLINK("https://pbs.twimg.com/profile_images/1050103439416578049/1-ImHESD.jpg","View")</f>
        <v>View</v>
      </c>
    </row>
    <row r="1840" spans="1:21" ht="51">
      <c r="A1840" s="6">
        <v>43439.451701388884</v>
      </c>
      <c r="B1840" s="7" t="str">
        <f>HYPERLINK("https://twitter.com/Albert_Rivera","@Albert_Rivera")</f>
        <v>@Albert_Rivera</v>
      </c>
      <c r="C1840" s="8" t="s">
        <v>443</v>
      </c>
      <c r="D1840" s="9" t="s">
        <v>7364</v>
      </c>
      <c r="E1840" s="10" t="str">
        <f>HYPERLINK("https://twitter.com/Albert_Rivera/status/1070254064481521664","1070254064481521664")</f>
        <v>1070254064481521664</v>
      </c>
      <c r="F1840" s="13" t="s">
        <v>6284</v>
      </c>
      <c r="G1840" s="11"/>
      <c r="H1840" s="11"/>
      <c r="I1840" s="14">
        <v>1771</v>
      </c>
      <c r="J1840" s="14">
        <v>3455</v>
      </c>
      <c r="K1840" s="15" t="str">
        <f t="shared" ref="K1840:K1841" si="362">HYPERLINK("http://twitter.com/download/iphone","Twitter for iPhone")</f>
        <v>Twitter for iPhone</v>
      </c>
      <c r="L1840" s="14">
        <v>1075808</v>
      </c>
      <c r="M1840" s="14">
        <v>2547</v>
      </c>
      <c r="N1840" s="14">
        <v>5114</v>
      </c>
      <c r="O1840" s="19" t="s">
        <v>42</v>
      </c>
      <c r="P1840" s="6">
        <v>40205.748171296298</v>
      </c>
      <c r="Q1840" s="12" t="s">
        <v>137</v>
      </c>
      <c r="R1840" s="17" t="s">
        <v>450</v>
      </c>
      <c r="S1840" s="13" t="s">
        <v>452</v>
      </c>
      <c r="T1840" s="11"/>
      <c r="U1840" s="10" t="str">
        <f>HYPERLINK("https://pbs.twimg.com/profile_images/1030708936779988993/RncDM4EZ.jpg","View")</f>
        <v>View</v>
      </c>
    </row>
    <row r="1841" spans="1:21" ht="30.6">
      <c r="A1841" s="6">
        <v>43439.450949074075</v>
      </c>
      <c r="B1841" s="7" t="str">
        <f>HYPERLINK("https://twitter.com/PacoOjeda_","@PacoOjeda_")</f>
        <v>@PacoOjeda_</v>
      </c>
      <c r="C1841" s="8" t="s">
        <v>6015</v>
      </c>
      <c r="D1841" s="9" t="s">
        <v>6016</v>
      </c>
      <c r="E1841" s="10" t="str">
        <f>HYPERLINK("https://twitter.com/PacoOjeda_/status/1070253789318402048","1070253789318402048")</f>
        <v>1070253789318402048</v>
      </c>
      <c r="F1841" s="11"/>
      <c r="G1841" s="13" t="s">
        <v>6017</v>
      </c>
      <c r="H1841" s="11"/>
      <c r="I1841" s="14">
        <v>0</v>
      </c>
      <c r="J1841" s="14">
        <v>0</v>
      </c>
      <c r="K1841" s="15" t="str">
        <f t="shared" si="362"/>
        <v>Twitter for iPhone</v>
      </c>
      <c r="L1841" s="14">
        <v>299</v>
      </c>
      <c r="M1841" s="14">
        <v>305</v>
      </c>
      <c r="N1841" s="14">
        <v>10</v>
      </c>
      <c r="O1841" s="16"/>
      <c r="P1841" s="6">
        <v>40630.594189814816</v>
      </c>
      <c r="Q1841" s="12" t="s">
        <v>969</v>
      </c>
      <c r="R1841" s="17" t="s">
        <v>6018</v>
      </c>
      <c r="S1841" s="11"/>
      <c r="T1841" s="11"/>
      <c r="U1841" s="10" t="str">
        <f>HYPERLINK("https://pbs.twimg.com/profile_images/1028071991402803200/B0_lT3Mr.jpg","View")</f>
        <v>View</v>
      </c>
    </row>
    <row r="1842" spans="1:21" ht="40.799999999999997">
      <c r="A1842" s="6">
        <v>43439.449907407412</v>
      </c>
      <c r="B1842" s="7" t="str">
        <f>HYPERLINK("https://twitter.com/Fuck3go","@Fuck3go")</f>
        <v>@Fuck3go</v>
      </c>
      <c r="C1842" s="8" t="s">
        <v>7369</v>
      </c>
      <c r="D1842" s="9" t="s">
        <v>7370</v>
      </c>
      <c r="E1842" s="10" t="str">
        <f>HYPERLINK("https://twitter.com/Fuck3go/status/1070253413466820609","1070253413466820609")</f>
        <v>1070253413466820609</v>
      </c>
      <c r="F1842" s="13" t="s">
        <v>7372</v>
      </c>
      <c r="G1842" s="11"/>
      <c r="H1842" s="11"/>
      <c r="I1842" s="14">
        <v>0</v>
      </c>
      <c r="J1842" s="14">
        <v>0</v>
      </c>
      <c r="K1842" s="15" t="str">
        <f>HYPERLINK("http://www.facebook.com/twitter","Facebook")</f>
        <v>Facebook</v>
      </c>
      <c r="L1842" s="14">
        <v>97</v>
      </c>
      <c r="M1842" s="14">
        <v>102</v>
      </c>
      <c r="N1842" s="14">
        <v>3</v>
      </c>
      <c r="O1842" s="16"/>
      <c r="P1842" s="6">
        <v>41562.881284722222</v>
      </c>
      <c r="Q1842" s="12" t="s">
        <v>7374</v>
      </c>
      <c r="R1842" s="17" t="s">
        <v>7375</v>
      </c>
      <c r="S1842" s="13" t="s">
        <v>7376</v>
      </c>
      <c r="T1842" s="11"/>
      <c r="U1842" s="10" t="str">
        <f>HYPERLINK("https://pbs.twimg.com/profile_images/378800000601700563/d39d245bcda1405ef71424072fa4665d.jpeg","View")</f>
        <v>View</v>
      </c>
    </row>
    <row r="1843" spans="1:21" ht="20.399999999999999">
      <c r="A1843" s="6">
        <v>43439.449444444443</v>
      </c>
      <c r="B1843" s="7" t="str">
        <f>HYPERLINK("https://twitter.com/Delfos72220099","@Delfos72220099")</f>
        <v>@Delfos72220099</v>
      </c>
      <c r="C1843" s="8" t="s">
        <v>2096</v>
      </c>
      <c r="D1843" s="9" t="s">
        <v>7379</v>
      </c>
      <c r="E1843" s="10" t="str">
        <f>HYPERLINK("https://twitter.com/Delfos72220099/status/1070253243358420992","1070253243358420992")</f>
        <v>1070253243358420992</v>
      </c>
      <c r="F1843" s="11"/>
      <c r="G1843" s="11"/>
      <c r="H1843" s="11"/>
      <c r="I1843" s="14">
        <v>0</v>
      </c>
      <c r="J1843" s="14">
        <v>0</v>
      </c>
      <c r="K1843" s="15" t="str">
        <f>HYPERLINK("http://twitter.com/download/android","Twitter for Android")</f>
        <v>Twitter for Android</v>
      </c>
      <c r="L1843" s="14">
        <v>23</v>
      </c>
      <c r="M1843" s="14">
        <v>22</v>
      </c>
      <c r="N1843" s="14">
        <v>0</v>
      </c>
      <c r="O1843" s="16"/>
      <c r="P1843" s="6">
        <v>42877.546527777777</v>
      </c>
      <c r="Q1843" s="11"/>
      <c r="R1843" s="17" t="s">
        <v>2099</v>
      </c>
      <c r="S1843" s="11"/>
      <c r="T1843" s="11"/>
      <c r="U1843" s="10" t="str">
        <f>HYPERLINK("https://pbs.twimg.com/profile_images/978502010571055104/0HPyXYrL.jpg","View")</f>
        <v>View</v>
      </c>
    </row>
    <row r="1844" spans="1:21" ht="40.799999999999997">
      <c r="A1844" s="6">
        <v>43439.44930555555</v>
      </c>
      <c r="B1844" s="7" t="str">
        <f>HYPERLINK("https://twitter.com/elnacionalcat_e","@elnacionalcat_e")</f>
        <v>@elnacionalcat_e</v>
      </c>
      <c r="C1844" s="8" t="s">
        <v>4541</v>
      </c>
      <c r="D1844" s="9" t="s">
        <v>6153</v>
      </c>
      <c r="E1844" s="10" t="str">
        <f>HYPERLINK("https://twitter.com/elnacionalcat_e/status/1070253193316069377","1070253193316069377")</f>
        <v>1070253193316069377</v>
      </c>
      <c r="F1844" s="13" t="s">
        <v>7382</v>
      </c>
      <c r="G1844" s="11"/>
      <c r="H1844" s="11"/>
      <c r="I1844" s="14">
        <v>1</v>
      </c>
      <c r="J1844" s="14">
        <v>1</v>
      </c>
      <c r="K1844" s="15" t="str">
        <f>HYPERLINK("https://about.twitter.com/products/tweetdeck","TweetDeck")</f>
        <v>TweetDeck</v>
      </c>
      <c r="L1844" s="14">
        <v>5553</v>
      </c>
      <c r="M1844" s="14">
        <v>355</v>
      </c>
      <c r="N1844" s="14">
        <v>169</v>
      </c>
      <c r="O1844" s="16"/>
      <c r="P1844" s="6">
        <v>42247.840567129635</v>
      </c>
      <c r="Q1844" s="12" t="s">
        <v>3665</v>
      </c>
      <c r="R1844" s="17" t="s">
        <v>4545</v>
      </c>
      <c r="S1844" s="13" t="s">
        <v>4546</v>
      </c>
      <c r="T1844" s="11"/>
      <c r="U1844" s="10" t="str">
        <f>HYPERLINK("https://pbs.twimg.com/profile_images/646298514385960960/VEutSP7L.png","View")</f>
        <v>View</v>
      </c>
    </row>
    <row r="1845" spans="1:21" ht="40.799999999999997">
      <c r="A1845" s="6">
        <v>43439.448449074072</v>
      </c>
      <c r="B1845" s="7" t="str">
        <f>HYPERLINK("https://twitter.com/LaBego8","@LaBego8")</f>
        <v>@LaBego8</v>
      </c>
      <c r="C1845" s="8" t="s">
        <v>6019</v>
      </c>
      <c r="D1845" s="9" t="s">
        <v>6020</v>
      </c>
      <c r="E1845" s="10" t="str">
        <f>HYPERLINK("https://twitter.com/LaBego8/status/1070252885085208577","1070252885085208577")</f>
        <v>1070252885085208577</v>
      </c>
      <c r="F1845" s="13" t="s">
        <v>6021</v>
      </c>
      <c r="G1845" s="11"/>
      <c r="H1845" s="11"/>
      <c r="I1845" s="14">
        <v>0</v>
      </c>
      <c r="J1845" s="14">
        <v>0</v>
      </c>
      <c r="K1845" s="15" t="str">
        <f>HYPERLINK("http://twitter.com/download/android","Twitter for Android")</f>
        <v>Twitter for Android</v>
      </c>
      <c r="L1845" s="14">
        <v>122</v>
      </c>
      <c r="M1845" s="14">
        <v>208</v>
      </c>
      <c r="N1845" s="14">
        <v>0</v>
      </c>
      <c r="O1845" s="16"/>
      <c r="P1845" s="6">
        <v>43259.576620370368</v>
      </c>
      <c r="Q1845" s="12" t="s">
        <v>790</v>
      </c>
      <c r="R1845" s="17" t="s">
        <v>6022</v>
      </c>
      <c r="S1845" s="11"/>
      <c r="T1845" s="11"/>
      <c r="U1845" s="10" t="str">
        <f>HYPERLINK("https://pbs.twimg.com/profile_images/1005085547252068353/W5EI2Ool.jpg","View")</f>
        <v>View</v>
      </c>
    </row>
    <row r="1846" spans="1:21" ht="30.6">
      <c r="A1846" s="6">
        <v>43439.448194444441</v>
      </c>
      <c r="B1846" s="7" t="str">
        <f>HYPERLINK("https://twitter.com/informativost5","@informativost5")</f>
        <v>@informativost5</v>
      </c>
      <c r="C1846" s="8" t="s">
        <v>2825</v>
      </c>
      <c r="D1846" s="9" t="s">
        <v>6023</v>
      </c>
      <c r="E1846" s="10" t="str">
        <f>HYPERLINK("https://twitter.com/informativost5/status/1070252793502552064","1070252793502552064")</f>
        <v>1070252793502552064</v>
      </c>
      <c r="F1846" s="13" t="s">
        <v>6025</v>
      </c>
      <c r="G1846" s="13" t="s">
        <v>6026</v>
      </c>
      <c r="H1846" s="11"/>
      <c r="I1846" s="14">
        <v>1</v>
      </c>
      <c r="J1846" s="14">
        <v>0</v>
      </c>
      <c r="K1846" s="15" t="str">
        <f>HYPERLINK("https://about.twitter.com/products/tweetdeck","TweetDeck")</f>
        <v>TweetDeck</v>
      </c>
      <c r="L1846" s="14">
        <v>696202</v>
      </c>
      <c r="M1846" s="14">
        <v>1234</v>
      </c>
      <c r="N1846" s="14">
        <v>3417</v>
      </c>
      <c r="O1846" s="19" t="s">
        <v>42</v>
      </c>
      <c r="P1846" s="6">
        <v>39720.789826388893</v>
      </c>
      <c r="Q1846" s="12" t="s">
        <v>2831</v>
      </c>
      <c r="R1846" s="17" t="s">
        <v>2832</v>
      </c>
      <c r="S1846" s="13" t="s">
        <v>2833</v>
      </c>
      <c r="T1846" s="11"/>
      <c r="U1846" s="10" t="str">
        <f>HYPERLINK("https://pbs.twimg.com/profile_images/927916068248739840/uCErGmhm.jpg","View")</f>
        <v>View</v>
      </c>
    </row>
    <row r="1847" spans="1:21" ht="81.599999999999994">
      <c r="A1847" s="6">
        <v>43439.445393518516</v>
      </c>
      <c r="B1847" s="7" t="str">
        <f>HYPERLINK("https://twitter.com/martinidemar","@martinidemar")</f>
        <v>@martinidemar</v>
      </c>
      <c r="C1847" s="8" t="s">
        <v>5860</v>
      </c>
      <c r="D1847" s="9" t="s">
        <v>6028</v>
      </c>
      <c r="E1847" s="10" t="str">
        <f>HYPERLINK("https://twitter.com/martinidemar/status/1070251775343685632","1070251775343685632")</f>
        <v>1070251775343685632</v>
      </c>
      <c r="F1847" s="13" t="s">
        <v>6029</v>
      </c>
      <c r="G1847" s="11"/>
      <c r="H1847" s="11"/>
      <c r="I1847" s="14">
        <v>0</v>
      </c>
      <c r="J1847" s="14">
        <v>2</v>
      </c>
      <c r="K1847" s="15" t="str">
        <f t="shared" ref="K1847:K1849" si="363">HYPERLINK("http://twitter.com","Twitter Web Client")</f>
        <v>Twitter Web Client</v>
      </c>
      <c r="L1847" s="14">
        <v>9986</v>
      </c>
      <c r="M1847" s="14">
        <v>2428</v>
      </c>
      <c r="N1847" s="14">
        <v>416</v>
      </c>
      <c r="O1847" s="16"/>
      <c r="P1847" s="6">
        <v>40522.434224537035</v>
      </c>
      <c r="Q1847" s="12" t="s">
        <v>5863</v>
      </c>
      <c r="R1847" s="17" t="s">
        <v>5864</v>
      </c>
      <c r="S1847" s="13" t="s">
        <v>5865</v>
      </c>
      <c r="T1847" s="11"/>
      <c r="U1847" s="10" t="str">
        <f>HYPERLINK("https://pbs.twimg.com/profile_images/1043116090618986496/14zPiSFt.jpg","View")</f>
        <v>View</v>
      </c>
    </row>
    <row r="1848" spans="1:21" ht="51">
      <c r="A1848" s="6">
        <v>43439.44462962963</v>
      </c>
      <c r="B1848" s="7" t="str">
        <f>HYPERLINK("https://twitter.com/boscovne","@boscovne")</f>
        <v>@boscovne</v>
      </c>
      <c r="C1848" s="8" t="s">
        <v>7388</v>
      </c>
      <c r="D1848" s="9" t="s">
        <v>7389</v>
      </c>
      <c r="E1848" s="10" t="str">
        <f>HYPERLINK("https://twitter.com/boscovne/status/1070251498574090240","1070251498574090240")</f>
        <v>1070251498574090240</v>
      </c>
      <c r="F1848" s="11"/>
      <c r="G1848" s="11"/>
      <c r="H1848" s="11"/>
      <c r="I1848" s="14">
        <v>9</v>
      </c>
      <c r="J1848" s="14">
        <v>14</v>
      </c>
      <c r="K1848" s="15" t="str">
        <f t="shared" si="363"/>
        <v>Twitter Web Client</v>
      </c>
      <c r="L1848" s="14">
        <v>426</v>
      </c>
      <c r="M1848" s="14">
        <v>209</v>
      </c>
      <c r="N1848" s="14">
        <v>8</v>
      </c>
      <c r="O1848" s="16"/>
      <c r="P1848" s="6">
        <v>40535.589942129627</v>
      </c>
      <c r="Q1848" s="12" t="s">
        <v>29</v>
      </c>
      <c r="R1848" s="17" t="s">
        <v>7390</v>
      </c>
      <c r="S1848" s="11"/>
      <c r="T1848" s="11"/>
      <c r="U1848" s="10" t="str">
        <f>HYPERLINK("https://pbs.twimg.com/profile_images/1050373049734877184/k_tYnPM1.jpg","View")</f>
        <v>View</v>
      </c>
    </row>
    <row r="1849" spans="1:21" ht="40.799999999999997">
      <c r="A1849" s="6">
        <v>43439.443831018521</v>
      </c>
      <c r="B1849" s="7" t="str">
        <f>HYPERLINK("https://twitter.com/hectormgarrido","@hectormgarrido")</f>
        <v>@hectormgarrido</v>
      </c>
      <c r="C1849" s="8" t="s">
        <v>6032</v>
      </c>
      <c r="D1849" s="9" t="s">
        <v>6033</v>
      </c>
      <c r="E1849" s="10" t="str">
        <f>HYPERLINK("https://twitter.com/hectormgarrido/status/1070251210391867392","1070251210391867392")</f>
        <v>1070251210391867392</v>
      </c>
      <c r="F1849" s="13" t="s">
        <v>6034</v>
      </c>
      <c r="G1849" s="13" t="s">
        <v>6036</v>
      </c>
      <c r="H1849" s="11"/>
      <c r="I1849" s="14">
        <v>4</v>
      </c>
      <c r="J1849" s="14">
        <v>2</v>
      </c>
      <c r="K1849" s="15" t="str">
        <f t="shared" si="363"/>
        <v>Twitter Web Client</v>
      </c>
      <c r="L1849" s="14">
        <v>2672</v>
      </c>
      <c r="M1849" s="14">
        <v>955</v>
      </c>
      <c r="N1849" s="14">
        <v>178</v>
      </c>
      <c r="O1849" s="16"/>
      <c r="P1849" s="6">
        <v>39849.755937499998</v>
      </c>
      <c r="Q1849" s="12" t="s">
        <v>6039</v>
      </c>
      <c r="R1849" s="17" t="s">
        <v>6040</v>
      </c>
      <c r="S1849" s="11"/>
      <c r="T1849" s="11"/>
      <c r="U1849" s="10" t="str">
        <f>HYPERLINK("https://pbs.twimg.com/profile_images/683300741256200192/4Kbl37H6.png","View")</f>
        <v>View</v>
      </c>
    </row>
    <row r="1850" spans="1:21" ht="30.6">
      <c r="A1850" s="6">
        <v>43439.441296296296</v>
      </c>
      <c r="B1850" s="7" t="str">
        <f>HYPERLINK("https://twitter.com/Miguelcanetfem5","@Miguelcanetfem5")</f>
        <v>@Miguelcanetfem5</v>
      </c>
      <c r="C1850" s="8" t="s">
        <v>7393</v>
      </c>
      <c r="D1850" s="9" t="s">
        <v>7394</v>
      </c>
      <c r="E1850" s="10" t="str">
        <f>HYPERLINK("https://twitter.com/Miguelcanetfem5/status/1070250293479309313","1070250293479309313")</f>
        <v>1070250293479309313</v>
      </c>
      <c r="F1850" s="11"/>
      <c r="G1850" s="11"/>
      <c r="H1850" s="11"/>
      <c r="I1850" s="14">
        <v>4</v>
      </c>
      <c r="J1850" s="14">
        <v>2</v>
      </c>
      <c r="K1850" s="15" t="str">
        <f t="shared" ref="K1850:K1851" si="364">HYPERLINK("http://twitter.com/download/android","Twitter for Android")</f>
        <v>Twitter for Android</v>
      </c>
      <c r="L1850" s="14">
        <v>437</v>
      </c>
      <c r="M1850" s="14">
        <v>477</v>
      </c>
      <c r="N1850" s="14">
        <v>2</v>
      </c>
      <c r="O1850" s="16"/>
      <c r="P1850" s="6">
        <v>43171.35769675926</v>
      </c>
      <c r="Q1850" s="12" t="s">
        <v>7396</v>
      </c>
      <c r="R1850" s="17" t="s">
        <v>7397</v>
      </c>
      <c r="S1850" s="11"/>
      <c r="T1850" s="11"/>
      <c r="U1850" s="10" t="str">
        <f>HYPERLINK("https://pbs.twimg.com/profile_images/1051516935995834369/OiiarvFE.jpg","View")</f>
        <v>View</v>
      </c>
    </row>
    <row r="1851" spans="1:21" ht="30.6">
      <c r="A1851" s="6">
        <v>43439.441018518519</v>
      </c>
      <c r="B1851" s="7" t="str">
        <f>HYPERLINK("https://twitter.com/fj_calero","@fj_calero")</f>
        <v>@fj_calero</v>
      </c>
      <c r="C1851" s="8" t="s">
        <v>7399</v>
      </c>
      <c r="D1851" s="9" t="s">
        <v>7401</v>
      </c>
      <c r="E1851" s="10" t="str">
        <f>HYPERLINK("https://twitter.com/fj_calero/status/1070250191842877441","1070250191842877441")</f>
        <v>1070250191842877441</v>
      </c>
      <c r="F1851" s="11"/>
      <c r="G1851" s="11"/>
      <c r="H1851" s="11"/>
      <c r="I1851" s="14">
        <v>0</v>
      </c>
      <c r="J1851" s="14">
        <v>3</v>
      </c>
      <c r="K1851" s="15" t="str">
        <f t="shared" si="364"/>
        <v>Twitter for Android</v>
      </c>
      <c r="L1851" s="14">
        <v>1028</v>
      </c>
      <c r="M1851" s="14">
        <v>616</v>
      </c>
      <c r="N1851" s="14">
        <v>36</v>
      </c>
      <c r="O1851" s="16"/>
      <c r="P1851" s="6">
        <v>40921.80541666667</v>
      </c>
      <c r="Q1851" s="11"/>
      <c r="R1851" s="17" t="s">
        <v>7402</v>
      </c>
      <c r="S1851" s="13" t="s">
        <v>7403</v>
      </c>
      <c r="T1851" s="11"/>
      <c r="U1851" s="10" t="str">
        <f>HYPERLINK("https://pbs.twimg.com/profile_images/1048992055794569216/IW3snsWU.jpg","View")</f>
        <v>View</v>
      </c>
    </row>
    <row r="1852" spans="1:21" ht="51">
      <c r="A1852" s="6">
        <v>43439.440358796295</v>
      </c>
      <c r="B1852" s="7" t="str">
        <f>HYPERLINK("https://twitter.com/BabunitaSeco","@BabunitaSeco")</f>
        <v>@BabunitaSeco</v>
      </c>
      <c r="C1852" s="8" t="s">
        <v>3460</v>
      </c>
      <c r="D1852" s="9" t="s">
        <v>6041</v>
      </c>
      <c r="E1852" s="10" t="str">
        <f>HYPERLINK("https://twitter.com/BabunitaSeco/status/1070249952310374400","1070249952310374400")</f>
        <v>1070249952310374400</v>
      </c>
      <c r="F1852" s="12" t="s">
        <v>6042</v>
      </c>
      <c r="G1852" s="11"/>
      <c r="H1852" s="11"/>
      <c r="I1852" s="14">
        <v>0</v>
      </c>
      <c r="J1852" s="14">
        <v>1</v>
      </c>
      <c r="K1852" s="15" t="str">
        <f>HYPERLINK("https://mobile.twitter.com","Twitter Lite")</f>
        <v>Twitter Lite</v>
      </c>
      <c r="L1852" s="14">
        <v>194</v>
      </c>
      <c r="M1852" s="14">
        <v>258</v>
      </c>
      <c r="N1852" s="14">
        <v>13</v>
      </c>
      <c r="O1852" s="16"/>
      <c r="P1852" s="6">
        <v>40689.45930555556</v>
      </c>
      <c r="Q1852" s="12" t="s">
        <v>3462</v>
      </c>
      <c r="R1852" s="18"/>
      <c r="S1852" s="13" t="s">
        <v>3463</v>
      </c>
      <c r="T1852" s="11"/>
      <c r="U1852" s="10" t="str">
        <f>HYPERLINK("https://pbs.twimg.com/profile_images/1369508100/Avatar.gif","View")</f>
        <v>View</v>
      </c>
    </row>
    <row r="1853" spans="1:21" ht="30.6">
      <c r="A1853" s="6">
        <v>43439.439293981486</v>
      </c>
      <c r="B1853" s="7" t="str">
        <f>HYPERLINK("https://twitter.com/Delfos72220099","@Delfos72220099")</f>
        <v>@Delfos72220099</v>
      </c>
      <c r="C1853" s="8" t="s">
        <v>2096</v>
      </c>
      <c r="D1853" s="9" t="s">
        <v>7408</v>
      </c>
      <c r="E1853" s="10" t="str">
        <f>HYPERLINK("https://twitter.com/Delfos72220099/status/1070249567080337408","1070249567080337408")</f>
        <v>1070249567080337408</v>
      </c>
      <c r="F1853" s="11"/>
      <c r="G1853" s="11"/>
      <c r="H1853" s="11"/>
      <c r="I1853" s="14">
        <v>0</v>
      </c>
      <c r="J1853" s="14">
        <v>0</v>
      </c>
      <c r="K1853" s="15" t="str">
        <f>HYPERLINK("http://twitter.com/download/android","Twitter for Android")</f>
        <v>Twitter for Android</v>
      </c>
      <c r="L1853" s="14">
        <v>23</v>
      </c>
      <c r="M1853" s="14">
        <v>22</v>
      </c>
      <c r="N1853" s="14">
        <v>0</v>
      </c>
      <c r="O1853" s="16"/>
      <c r="P1853" s="6">
        <v>42877.546527777777</v>
      </c>
      <c r="Q1853" s="11"/>
      <c r="R1853" s="17" t="s">
        <v>2099</v>
      </c>
      <c r="S1853" s="11"/>
      <c r="T1853" s="11"/>
      <c r="U1853" s="10" t="str">
        <f>HYPERLINK("https://pbs.twimg.com/profile_images/978502010571055104/0HPyXYrL.jpg","View")</f>
        <v>View</v>
      </c>
    </row>
    <row r="1854" spans="1:21" ht="51">
      <c r="A1854" s="6">
        <v>43439.438946759255</v>
      </c>
      <c r="B1854" s="7" t="str">
        <f>HYPERLINK("https://twitter.com/_S4O_","@_S4O_")</f>
        <v>@_S4O_</v>
      </c>
      <c r="C1854" s="8" t="s">
        <v>7409</v>
      </c>
      <c r="D1854" s="9" t="s">
        <v>7410</v>
      </c>
      <c r="E1854" s="10" t="str">
        <f>HYPERLINK("https://twitter.com/_S4O_/status/1070249438688567297","1070249438688567297")</f>
        <v>1070249438688567297</v>
      </c>
      <c r="F1854" s="12" t="s">
        <v>7411</v>
      </c>
      <c r="G1854" s="11"/>
      <c r="H1854" s="11"/>
      <c r="I1854" s="14">
        <v>0</v>
      </c>
      <c r="J1854" s="14">
        <v>4</v>
      </c>
      <c r="K1854" s="15" t="str">
        <f>HYPERLINK("http://twitter.com","Twitter Web Client")</f>
        <v>Twitter Web Client</v>
      </c>
      <c r="L1854" s="14">
        <v>1552</v>
      </c>
      <c r="M1854" s="14">
        <v>612</v>
      </c>
      <c r="N1854" s="14">
        <v>48</v>
      </c>
      <c r="O1854" s="16"/>
      <c r="P1854" s="6">
        <v>41132.622361111113</v>
      </c>
      <c r="Q1854" s="12" t="s">
        <v>7412</v>
      </c>
      <c r="R1854" s="17" t="s">
        <v>7413</v>
      </c>
      <c r="S1854" s="13" t="s">
        <v>7414</v>
      </c>
      <c r="T1854" s="11"/>
      <c r="U1854" s="10" t="str">
        <f>HYPERLINK("https://pbs.twimg.com/profile_images/1048254045159346176/ccs_cFnj.jpg","View")</f>
        <v>View</v>
      </c>
    </row>
    <row r="1855" spans="1:21" ht="30.6">
      <c r="A1855" s="6">
        <v>43439.438622685186</v>
      </c>
      <c r="B1855" s="7" t="str">
        <f>HYPERLINK("https://twitter.com/PabloNavarro98","@PabloNavarro98")</f>
        <v>@PabloNavarro98</v>
      </c>
      <c r="C1855" s="8" t="s">
        <v>7417</v>
      </c>
      <c r="D1855" s="9" t="s">
        <v>7418</v>
      </c>
      <c r="E1855" s="10" t="str">
        <f>HYPERLINK("https://twitter.com/PabloNavarro98/status/1070249322141442048","1070249322141442048")</f>
        <v>1070249322141442048</v>
      </c>
      <c r="F1855" s="11"/>
      <c r="G1855" s="11"/>
      <c r="H1855" s="11"/>
      <c r="I1855" s="14">
        <v>0</v>
      </c>
      <c r="J1855" s="14">
        <v>2</v>
      </c>
      <c r="K1855" s="15" t="str">
        <f>HYPERLINK("http://twitter.com/download/iphone","Twitter for iPhone")</f>
        <v>Twitter for iPhone</v>
      </c>
      <c r="L1855" s="14">
        <v>435</v>
      </c>
      <c r="M1855" s="14">
        <v>884</v>
      </c>
      <c r="N1855" s="14">
        <v>2</v>
      </c>
      <c r="O1855" s="16"/>
      <c r="P1855" s="6">
        <v>41176.921817129631</v>
      </c>
      <c r="Q1855" s="12" t="s">
        <v>7419</v>
      </c>
      <c r="R1855" s="17" t="s">
        <v>7421</v>
      </c>
      <c r="S1855" s="11"/>
      <c r="T1855" s="11"/>
      <c r="U1855" s="10" t="str">
        <f>HYPERLINK("https://pbs.twimg.com/profile_images/1004428207834238976/jZzpsDYe.jpg","View")</f>
        <v>View</v>
      </c>
    </row>
    <row r="1856" spans="1:21" ht="40.799999999999997">
      <c r="A1856" s="6">
        <v>43439.438252314816</v>
      </c>
      <c r="B1856" s="7" t="str">
        <f>HYPERLINK("https://twitter.com/tuitermann","@tuitermann")</f>
        <v>@tuitermann</v>
      </c>
      <c r="C1856" s="8" t="s">
        <v>1914</v>
      </c>
      <c r="D1856" s="9" t="s">
        <v>3441</v>
      </c>
      <c r="E1856" s="10" t="str">
        <f>HYPERLINK("https://twitter.com/tuitermann/status/1070249190381432833","1070249190381432833")</f>
        <v>1070249190381432833</v>
      </c>
      <c r="F1856" s="13" t="s">
        <v>7422</v>
      </c>
      <c r="G1856" s="13" t="s">
        <v>7423</v>
      </c>
      <c r="H1856" s="11"/>
      <c r="I1856" s="14">
        <v>0</v>
      </c>
      <c r="J1856" s="14">
        <v>0</v>
      </c>
      <c r="K1856" s="15" t="str">
        <f>HYPERLINK("https://dlvrit.com/","dlvr.it")</f>
        <v>dlvr.it</v>
      </c>
      <c r="L1856" s="14">
        <v>1620</v>
      </c>
      <c r="M1856" s="14">
        <v>789</v>
      </c>
      <c r="N1856" s="14">
        <v>45</v>
      </c>
      <c r="O1856" s="16"/>
      <c r="P1856" s="6">
        <v>41372.995879629627</v>
      </c>
      <c r="Q1856" s="11"/>
      <c r="R1856" s="17" t="s">
        <v>1921</v>
      </c>
      <c r="S1856" s="13" t="s">
        <v>1922</v>
      </c>
      <c r="T1856" s="11"/>
      <c r="U1856" s="10" t="str">
        <f>HYPERLINK("https://pbs.twimg.com/profile_images/842897019991658499/9nAQnAlC.jpg","View")</f>
        <v>View</v>
      </c>
    </row>
    <row r="1857" spans="1:21" ht="20.399999999999999">
      <c r="A1857" s="6">
        <v>43439.436111111107</v>
      </c>
      <c r="B1857" s="7" t="str">
        <f>HYPERLINK("https://twitter.com/mparadinas","@mparadinas")</f>
        <v>@mparadinas</v>
      </c>
      <c r="C1857" s="8" t="s">
        <v>7424</v>
      </c>
      <c r="D1857" s="9" t="s">
        <v>7425</v>
      </c>
      <c r="E1857" s="10" t="str">
        <f>HYPERLINK("https://twitter.com/mparadinas/status/1070248412111605761","1070248412111605761")</f>
        <v>1070248412111605761</v>
      </c>
      <c r="F1857" s="13" t="s">
        <v>7426</v>
      </c>
      <c r="G1857" s="11"/>
      <c r="H1857" s="11"/>
      <c r="I1857" s="14">
        <v>1</v>
      </c>
      <c r="J1857" s="14">
        <v>1</v>
      </c>
      <c r="K1857" s="15" t="str">
        <f>HYPERLINK("https://about.twitter.com/products/tweetdeck","TweetDeck")</f>
        <v>TweetDeck</v>
      </c>
      <c r="L1857" s="14">
        <v>2087</v>
      </c>
      <c r="M1857" s="14">
        <v>604</v>
      </c>
      <c r="N1857" s="14">
        <v>60</v>
      </c>
      <c r="O1857" s="16"/>
      <c r="P1857" s="6">
        <v>40047.869745370372</v>
      </c>
      <c r="Q1857" s="12" t="s">
        <v>181</v>
      </c>
      <c r="R1857" s="17" t="s">
        <v>7427</v>
      </c>
      <c r="S1857" s="13" t="s">
        <v>7428</v>
      </c>
      <c r="T1857" s="11"/>
      <c r="U1857" s="10" t="str">
        <f>HYPERLINK("https://pbs.twimg.com/profile_images/873145179859038209/Thw0RQAu.jpg","View")</f>
        <v>View</v>
      </c>
    </row>
    <row r="1858" spans="1:21" ht="30.6">
      <c r="A1858" s="6">
        <v>43439.435891203699</v>
      </c>
      <c r="B1858" s="7" t="str">
        <f>HYPERLINK("https://twitter.com/Jufecha","@Jufecha")</f>
        <v>@Jufecha</v>
      </c>
      <c r="C1858" s="8" t="s">
        <v>7429</v>
      </c>
      <c r="D1858" s="9" t="s">
        <v>7430</v>
      </c>
      <c r="E1858" s="10" t="str">
        <f>HYPERLINK("https://twitter.com/Jufecha/status/1070248331123834880","1070248331123834880")</f>
        <v>1070248331123834880</v>
      </c>
      <c r="F1858" s="11"/>
      <c r="G1858" s="11"/>
      <c r="H1858" s="11"/>
      <c r="I1858" s="14">
        <v>0</v>
      </c>
      <c r="J1858" s="14">
        <v>0</v>
      </c>
      <c r="K1858" s="15" t="str">
        <f t="shared" ref="K1858:K1859" si="365">HYPERLINK("http://twitter.com/download/android","Twitter for Android")</f>
        <v>Twitter for Android</v>
      </c>
      <c r="L1858" s="14">
        <v>464</v>
      </c>
      <c r="M1858" s="14">
        <v>597</v>
      </c>
      <c r="N1858" s="14">
        <v>3</v>
      </c>
      <c r="O1858" s="16"/>
      <c r="P1858" s="6">
        <v>41536.555798611109</v>
      </c>
      <c r="Q1858" s="12" t="s">
        <v>7431</v>
      </c>
      <c r="R1858" s="18"/>
      <c r="S1858" s="11"/>
      <c r="T1858" s="11"/>
      <c r="U1858" s="10" t="str">
        <f>HYPERLINK("https://pbs.twimg.com/profile_images/1050676232923148288/BzGpIr7z.jpg","View")</f>
        <v>View</v>
      </c>
    </row>
    <row r="1859" spans="1:21" ht="30.6">
      <c r="A1859" s="6">
        <v>43439.435671296298</v>
      </c>
      <c r="B1859" s="7" t="str">
        <f>HYPERLINK("https://twitter.com/ferrerodu","@ferrerodu")</f>
        <v>@ferrerodu</v>
      </c>
      <c r="C1859" s="8" t="s">
        <v>2093</v>
      </c>
      <c r="D1859" s="9" t="s">
        <v>2347</v>
      </c>
      <c r="E1859" s="10" t="str">
        <f>HYPERLINK("https://twitter.com/ferrerodu/status/1070248251406848001","1070248251406848001")</f>
        <v>1070248251406848001</v>
      </c>
      <c r="F1859" s="13" t="s">
        <v>4189</v>
      </c>
      <c r="G1859" s="11"/>
      <c r="H1859" s="11"/>
      <c r="I1859" s="14">
        <v>2</v>
      </c>
      <c r="J1859" s="14">
        <v>3</v>
      </c>
      <c r="K1859" s="15" t="str">
        <f t="shared" si="365"/>
        <v>Twitter for Android</v>
      </c>
      <c r="L1859" s="14">
        <v>3251</v>
      </c>
      <c r="M1859" s="14">
        <v>4994</v>
      </c>
      <c r="N1859" s="14">
        <v>48</v>
      </c>
      <c r="O1859" s="16"/>
      <c r="P1859" s="6">
        <v>42514.8434375</v>
      </c>
      <c r="Q1859" s="11"/>
      <c r="R1859" s="17" t="s">
        <v>2098</v>
      </c>
      <c r="S1859" s="11"/>
      <c r="T1859" s="11"/>
      <c r="U1859" s="10" t="str">
        <f>HYPERLINK("https://pbs.twimg.com/profile_images/937373246110031872/Ag-PfK82.jpg","View")</f>
        <v>View</v>
      </c>
    </row>
    <row r="1860" spans="1:21" ht="13.2">
      <c r="A1860" s="6">
        <v>43439.433854166666</v>
      </c>
      <c r="B1860" s="7" t="str">
        <f>HYPERLINK("https://twitter.com/mukyla","@mukyla")</f>
        <v>@mukyla</v>
      </c>
      <c r="C1860" s="8" t="s">
        <v>1467</v>
      </c>
      <c r="D1860" s="9" t="s">
        <v>7434</v>
      </c>
      <c r="E1860" s="10" t="str">
        <f>HYPERLINK("https://twitter.com/mukyla/status/1070247593744191489","1070247593744191489")</f>
        <v>1070247593744191489</v>
      </c>
      <c r="F1860" s="11"/>
      <c r="G1860" s="13" t="s">
        <v>7435</v>
      </c>
      <c r="H1860" s="11"/>
      <c r="I1860" s="14">
        <v>0</v>
      </c>
      <c r="J1860" s="14">
        <v>3</v>
      </c>
      <c r="K1860" s="15" t="str">
        <f>HYPERLINK("http://twitter.com/download/iphone","Twitter for iPhone")</f>
        <v>Twitter for iPhone</v>
      </c>
      <c r="L1860" s="14">
        <v>733</v>
      </c>
      <c r="M1860" s="14">
        <v>637</v>
      </c>
      <c r="N1860" s="14">
        <v>39</v>
      </c>
      <c r="O1860" s="16"/>
      <c r="P1860" s="6">
        <v>40161.750173611115</v>
      </c>
      <c r="Q1860" s="12" t="s">
        <v>29</v>
      </c>
      <c r="R1860" s="17" t="s">
        <v>7436</v>
      </c>
      <c r="S1860" s="11"/>
      <c r="T1860" s="11"/>
      <c r="U1860" s="10" t="str">
        <f>HYPERLINK("https://pbs.twimg.com/profile_images/1065717072066416642/N6cLYZ0V.jpg","View")</f>
        <v>View</v>
      </c>
    </row>
    <row r="1861" spans="1:21" ht="51">
      <c r="A1861" s="6">
        <v>43439.433020833334</v>
      </c>
      <c r="B1861" s="7" t="str">
        <f>HYPERLINK("https://twitter.com/joselozanom","@joselozanom")</f>
        <v>@joselozanom</v>
      </c>
      <c r="C1861" s="8" t="s">
        <v>6043</v>
      </c>
      <c r="D1861" s="9" t="s">
        <v>6044</v>
      </c>
      <c r="E1861" s="10" t="str">
        <f>HYPERLINK("https://twitter.com/joselozanom/status/1070247291947225089","1070247291947225089")</f>
        <v>1070247291947225089</v>
      </c>
      <c r="F1861" s="11"/>
      <c r="G1861" s="13" t="s">
        <v>6045</v>
      </c>
      <c r="H1861" s="11"/>
      <c r="I1861" s="14">
        <v>1</v>
      </c>
      <c r="J1861" s="14">
        <v>2</v>
      </c>
      <c r="K1861" s="15" t="str">
        <f>HYPERLINK("http://twitter.com/download/android","Twitter for Android")</f>
        <v>Twitter for Android</v>
      </c>
      <c r="L1861" s="14">
        <v>1237</v>
      </c>
      <c r="M1861" s="14">
        <v>986</v>
      </c>
      <c r="N1861" s="14">
        <v>21</v>
      </c>
      <c r="O1861" s="16"/>
      <c r="P1861" s="6">
        <v>40811.71638888889</v>
      </c>
      <c r="Q1861" s="11"/>
      <c r="R1861" s="17" t="s">
        <v>6046</v>
      </c>
      <c r="S1861" s="11"/>
      <c r="T1861" s="11"/>
      <c r="U1861" s="10" t="str">
        <f>HYPERLINK("https://pbs.twimg.com/profile_images/2907360747/25499c5281d05e2a374b9a30edb0af30.jpeg","View")</f>
        <v>View</v>
      </c>
    </row>
    <row r="1862" spans="1:21" ht="13.2">
      <c r="A1862" s="6">
        <v>43439.432696759264</v>
      </c>
      <c r="B1862" s="7" t="str">
        <f>HYPERLINK("https://twitter.com/hoy_actualidad","@hoy_actualidad")</f>
        <v>@hoy_actualidad</v>
      </c>
      <c r="C1862" s="8" t="s">
        <v>7439</v>
      </c>
      <c r="D1862" s="9" t="s">
        <v>3441</v>
      </c>
      <c r="E1862" s="10" t="str">
        <f>HYPERLINK("https://twitter.com/hoy_actualidad/status/1070247176167546880","1070247176167546880")</f>
        <v>1070247176167546880</v>
      </c>
      <c r="F1862" s="13" t="s">
        <v>7440</v>
      </c>
      <c r="G1862" s="13" t="s">
        <v>7441</v>
      </c>
      <c r="H1862" s="11"/>
      <c r="I1862" s="14">
        <v>0</v>
      </c>
      <c r="J1862" s="14">
        <v>0</v>
      </c>
      <c r="K1862" s="15" t="str">
        <f t="shared" ref="K1862:K1863" si="366">HYPERLINK("https://dlvrit.com/","dlvr.it")</f>
        <v>dlvr.it</v>
      </c>
      <c r="L1862" s="14">
        <v>1249</v>
      </c>
      <c r="M1862" s="14">
        <v>467</v>
      </c>
      <c r="N1862" s="14">
        <v>21</v>
      </c>
      <c r="O1862" s="16"/>
      <c r="P1862" s="6">
        <v>42291.656504629631</v>
      </c>
      <c r="Q1862" s="12" t="s">
        <v>137</v>
      </c>
      <c r="R1862" s="17" t="s">
        <v>7443</v>
      </c>
      <c r="S1862" s="11"/>
      <c r="T1862" s="11"/>
      <c r="U1862" s="10" t="str">
        <f>HYPERLINK("https://pbs.twimg.com/profile_images/722100530382835712/Nq1Z7efS.jpg","View")</f>
        <v>View</v>
      </c>
    </row>
    <row r="1863" spans="1:21" ht="30.6">
      <c r="A1863" s="6">
        <v>43439.432696759264</v>
      </c>
      <c r="B1863" s="7" t="str">
        <f>HYPERLINK("https://twitter.com/miriromer97","@miriromer97")</f>
        <v>@miriromer97</v>
      </c>
      <c r="C1863" s="8" t="s">
        <v>7444</v>
      </c>
      <c r="D1863" s="9" t="s">
        <v>3441</v>
      </c>
      <c r="E1863" s="10" t="str">
        <f>HYPERLINK("https://twitter.com/miriromer97/status/1070247175416832001","1070247175416832001")</f>
        <v>1070247175416832001</v>
      </c>
      <c r="F1863" s="13" t="s">
        <v>7445</v>
      </c>
      <c r="G1863" s="13" t="s">
        <v>7446</v>
      </c>
      <c r="H1863" s="11"/>
      <c r="I1863" s="14">
        <v>0</v>
      </c>
      <c r="J1863" s="14">
        <v>0</v>
      </c>
      <c r="K1863" s="15" t="str">
        <f t="shared" si="366"/>
        <v>dlvr.it</v>
      </c>
      <c r="L1863" s="14">
        <v>61</v>
      </c>
      <c r="M1863" s="14">
        <v>373</v>
      </c>
      <c r="N1863" s="14">
        <v>0</v>
      </c>
      <c r="O1863" s="16"/>
      <c r="P1863" s="6">
        <v>43005.498425925922</v>
      </c>
      <c r="Q1863" s="12" t="s">
        <v>7447</v>
      </c>
      <c r="R1863" s="17" t="s">
        <v>7448</v>
      </c>
      <c r="S1863" s="11"/>
      <c r="T1863" s="11"/>
      <c r="U1863" s="10" t="str">
        <f>HYPERLINK("https://pbs.twimg.com/profile_images/912980515921305600/Ad2kv7IP.jpg","View")</f>
        <v>View</v>
      </c>
    </row>
    <row r="1864" spans="1:21" ht="30.6">
      <c r="A1864" s="6">
        <v>43439.429363425923</v>
      </c>
      <c r="B1864" s="7" t="str">
        <f>HYPERLINK("https://twitter.com/Indijnante","@Indijnante")</f>
        <v>@Indijnante</v>
      </c>
      <c r="C1864" s="8" t="s">
        <v>4518</v>
      </c>
      <c r="D1864" s="9" t="s">
        <v>6048</v>
      </c>
      <c r="E1864" s="10" t="str">
        <f>HYPERLINK("https://twitter.com/Indijnante/status/1070245965960044544","1070245965960044544")</f>
        <v>1070245965960044544</v>
      </c>
      <c r="F1864" s="13" t="s">
        <v>6049</v>
      </c>
      <c r="G1864" s="11"/>
      <c r="H1864" s="11"/>
      <c r="I1864" s="14">
        <v>0</v>
      </c>
      <c r="J1864" s="14">
        <v>0</v>
      </c>
      <c r="K1864" s="15" t="str">
        <f>HYPERLINK("http://twitter.com","Twitter Web Client")</f>
        <v>Twitter Web Client</v>
      </c>
      <c r="L1864" s="14">
        <v>602</v>
      </c>
      <c r="M1864" s="14">
        <v>1174</v>
      </c>
      <c r="N1864" s="14">
        <v>10</v>
      </c>
      <c r="O1864" s="16"/>
      <c r="P1864" s="6">
        <v>41845.83184027778</v>
      </c>
      <c r="Q1864" s="12" t="s">
        <v>4518</v>
      </c>
      <c r="R1864" s="17" t="s">
        <v>6050</v>
      </c>
      <c r="S1864" s="11"/>
      <c r="T1864" s="11"/>
      <c r="U1864" s="10" t="str">
        <f>HYPERLINK("https://pbs.twimg.com/profile_images/927485102325665792/fFtVGQ25.jpg","View")</f>
        <v>View</v>
      </c>
    </row>
    <row r="1865" spans="1:21" ht="51">
      <c r="A1865" s="6">
        <v>43439.429247685184</v>
      </c>
      <c r="B1865" s="7" t="str">
        <f>HYPERLINK("https://twitter.com/CdV_Andalucia","@CdV_Andalucia")</f>
        <v>@CdV_Andalucia</v>
      </c>
      <c r="C1865" s="8" t="s">
        <v>7451</v>
      </c>
      <c r="D1865" s="9" t="s">
        <v>7452</v>
      </c>
      <c r="E1865" s="10" t="str">
        <f>HYPERLINK("https://twitter.com/CdV_Andalucia/status/1070245926172803072","1070245926172803072")</f>
        <v>1070245926172803072</v>
      </c>
      <c r="F1865" s="13" t="s">
        <v>7453</v>
      </c>
      <c r="G1865" s="11"/>
      <c r="H1865" s="11"/>
      <c r="I1865" s="14">
        <v>15</v>
      </c>
      <c r="J1865" s="14">
        <v>15</v>
      </c>
      <c r="K1865" s="15" t="str">
        <f>HYPERLINK("http://twitter.com/download/android","Twitter for Android")</f>
        <v>Twitter for Android</v>
      </c>
      <c r="L1865" s="14">
        <v>1855</v>
      </c>
      <c r="M1865" s="14">
        <v>1383</v>
      </c>
      <c r="N1865" s="14">
        <v>30</v>
      </c>
      <c r="O1865" s="16"/>
      <c r="P1865" s="6">
        <v>42373.927835648152</v>
      </c>
      <c r="Q1865" s="12" t="s">
        <v>7456</v>
      </c>
      <c r="R1865" s="17" t="s">
        <v>7457</v>
      </c>
      <c r="S1865" s="13" t="s">
        <v>7368</v>
      </c>
      <c r="T1865" s="11"/>
      <c r="U1865" s="10" t="str">
        <f>HYPERLINK("https://pbs.twimg.com/profile_images/958826064628854786/BhEpus8U.jpg","View")</f>
        <v>View</v>
      </c>
    </row>
    <row r="1866" spans="1:21" ht="51">
      <c r="A1866" s="6">
        <v>43439.428182870368</v>
      </c>
      <c r="B1866" s="7" t="str">
        <f>HYPERLINK("https://twitter.com/DiazChavero","@DiazChavero")</f>
        <v>@DiazChavero</v>
      </c>
      <c r="C1866" s="8" t="s">
        <v>6051</v>
      </c>
      <c r="D1866" s="9" t="s">
        <v>6052</v>
      </c>
      <c r="E1866" s="10" t="str">
        <f>HYPERLINK("https://twitter.com/DiazChavero/status/1070245538812043265","1070245538812043265")</f>
        <v>1070245538812043265</v>
      </c>
      <c r="F1866" s="11"/>
      <c r="G1866" s="11"/>
      <c r="H1866" s="11"/>
      <c r="I1866" s="14">
        <v>0</v>
      </c>
      <c r="J1866" s="14">
        <v>0</v>
      </c>
      <c r="K1866" s="15" t="str">
        <f>HYPERLINK("http://twitter.com/download/iphone","Twitter for iPhone")</f>
        <v>Twitter for iPhone</v>
      </c>
      <c r="L1866" s="14">
        <v>283</v>
      </c>
      <c r="M1866" s="14">
        <v>192</v>
      </c>
      <c r="N1866" s="14">
        <v>5</v>
      </c>
      <c r="O1866" s="16"/>
      <c r="P1866" s="6">
        <v>40614.538252314815</v>
      </c>
      <c r="Q1866" s="12" t="s">
        <v>6053</v>
      </c>
      <c r="R1866" s="17" t="s">
        <v>6054</v>
      </c>
      <c r="S1866" s="13" t="s">
        <v>6055</v>
      </c>
      <c r="T1866" s="11"/>
      <c r="U1866" s="10" t="str">
        <f>HYPERLINK("https://pbs.twimg.com/profile_images/1018168423497551872/aWerdILj.jpg","View")</f>
        <v>View</v>
      </c>
    </row>
    <row r="1867" spans="1:21" ht="81.599999999999994">
      <c r="A1867" s="6">
        <v>43439.427789351852</v>
      </c>
      <c r="B1867" s="7" t="str">
        <f>HYPERLINK("https://twitter.com/RosaMSJ2","@RosaMSJ2")</f>
        <v>@RosaMSJ2</v>
      </c>
      <c r="C1867" s="8" t="s">
        <v>6056</v>
      </c>
      <c r="D1867" s="9" t="s">
        <v>6057</v>
      </c>
      <c r="E1867" s="10" t="str">
        <f>HYPERLINK("https://twitter.com/RosaMSJ2/status/1070245396562227201","1070245396562227201")</f>
        <v>1070245396562227201</v>
      </c>
      <c r="F1867" s="13" t="s">
        <v>6060</v>
      </c>
      <c r="G1867" s="11"/>
      <c r="H1867" s="11"/>
      <c r="I1867" s="14">
        <v>2</v>
      </c>
      <c r="J1867" s="14">
        <v>2</v>
      </c>
      <c r="K1867" s="15" t="str">
        <f>HYPERLINK("http://twitter.com","Twitter Web Client")</f>
        <v>Twitter Web Client</v>
      </c>
      <c r="L1867" s="14">
        <v>755</v>
      </c>
      <c r="M1867" s="14">
        <v>720</v>
      </c>
      <c r="N1867" s="14">
        <v>0</v>
      </c>
      <c r="O1867" s="16"/>
      <c r="P1867" s="6">
        <v>43124.603460648148</v>
      </c>
      <c r="Q1867" s="11"/>
      <c r="R1867" s="17" t="s">
        <v>6062</v>
      </c>
      <c r="S1867" s="11"/>
      <c r="T1867" s="11"/>
      <c r="U1867" s="10" t="str">
        <f>HYPERLINK("https://pbs.twimg.com/profile_images/956168413684084737/z41Gd8nZ.jpg","View")</f>
        <v>View</v>
      </c>
    </row>
    <row r="1868" spans="1:21" ht="30.6">
      <c r="A1868" s="6">
        <v>43439.424722222218</v>
      </c>
      <c r="B1868" s="7" t="str">
        <f>HYPERLINK("https://twitter.com/OficialSrLopez","@OficialSrLopez")</f>
        <v>@OficialSrLopez</v>
      </c>
      <c r="C1868" s="8" t="s">
        <v>1943</v>
      </c>
      <c r="D1868" s="9" t="s">
        <v>6064</v>
      </c>
      <c r="E1868" s="10" t="str">
        <f>HYPERLINK("https://twitter.com/OficialSrLopez/status/1070244285277179904","1070244285277179904")</f>
        <v>1070244285277179904</v>
      </c>
      <c r="F1868" s="11"/>
      <c r="G1868" s="11"/>
      <c r="H1868" s="11"/>
      <c r="I1868" s="14">
        <v>1</v>
      </c>
      <c r="J1868" s="14">
        <v>1</v>
      </c>
      <c r="K1868" s="15" t="str">
        <f>HYPERLINK("http://twitter.com/download/iphone","Twitter for iPhone")</f>
        <v>Twitter for iPhone</v>
      </c>
      <c r="L1868" s="14">
        <v>19</v>
      </c>
      <c r="M1868" s="14">
        <v>98</v>
      </c>
      <c r="N1868" s="14">
        <v>0</v>
      </c>
      <c r="O1868" s="16"/>
      <c r="P1868" s="6">
        <v>43432.080717592587</v>
      </c>
      <c r="Q1868" s="12" t="s">
        <v>1949</v>
      </c>
      <c r="R1868" s="17" t="s">
        <v>1950</v>
      </c>
      <c r="S1868" s="11"/>
      <c r="T1868" s="11"/>
      <c r="U1868" s="10" t="str">
        <f>HYPERLINK("https://pbs.twimg.com/profile_images/1067586319818334209/IJWtN2XA.jpg","View")</f>
        <v>View</v>
      </c>
    </row>
    <row r="1869" spans="1:21" ht="61.2">
      <c r="A1869" s="6">
        <v>43439.423206018517</v>
      </c>
      <c r="B1869" s="7" t="str">
        <f>HYPERLINK("https://twitter.com/grelomart","@grelomart")</f>
        <v>@grelomart</v>
      </c>
      <c r="C1869" s="8" t="s">
        <v>7470</v>
      </c>
      <c r="D1869" s="9" t="s">
        <v>7471</v>
      </c>
      <c r="E1869" s="10" t="str">
        <f>HYPERLINK("https://twitter.com/grelomart/status/1070243737060720640","1070243737060720640")</f>
        <v>1070243737060720640</v>
      </c>
      <c r="F1869" s="13" t="s">
        <v>7472</v>
      </c>
      <c r="G1869" s="11"/>
      <c r="H1869" s="11"/>
      <c r="I1869" s="14">
        <v>0</v>
      </c>
      <c r="J1869" s="14">
        <v>0</v>
      </c>
      <c r="K1869" s="15" t="str">
        <f t="shared" ref="K1869:K1870" si="367">HYPERLINK("http://twitter.com","Twitter Web Client")</f>
        <v>Twitter Web Client</v>
      </c>
      <c r="L1869" s="14">
        <v>554</v>
      </c>
      <c r="M1869" s="14">
        <v>1242</v>
      </c>
      <c r="N1869" s="14">
        <v>18</v>
      </c>
      <c r="O1869" s="16"/>
      <c r="P1869" s="6">
        <v>40014.574664351851</v>
      </c>
      <c r="Q1869" s="12" t="s">
        <v>2376</v>
      </c>
      <c r="R1869" s="17" t="s">
        <v>7473</v>
      </c>
      <c r="S1869" s="13" t="s">
        <v>7474</v>
      </c>
      <c r="T1869" s="11"/>
      <c r="U1869" s="10" t="str">
        <f>HYPERLINK("https://pbs.twimg.com/profile_images/955218592747966467/2aAPZcsg.jpg","View")</f>
        <v>View</v>
      </c>
    </row>
    <row r="1870" spans="1:21" ht="13.2">
      <c r="A1870" s="6">
        <v>43439.422002314815</v>
      </c>
      <c r="B1870" s="7" t="str">
        <f>HYPERLINK("https://twitter.com/PacioJanse","@PacioJanse")</f>
        <v>@PacioJanse</v>
      </c>
      <c r="C1870" s="8" t="s">
        <v>7476</v>
      </c>
      <c r="D1870" s="9" t="s">
        <v>2347</v>
      </c>
      <c r="E1870" s="10" t="str">
        <f>HYPERLINK("https://twitter.com/PacioJanse/status/1070243297896087552","1070243297896087552")</f>
        <v>1070243297896087552</v>
      </c>
      <c r="F1870" s="13" t="s">
        <v>2349</v>
      </c>
      <c r="G1870" s="11"/>
      <c r="H1870" s="11"/>
      <c r="I1870" s="14">
        <v>0</v>
      </c>
      <c r="J1870" s="14">
        <v>0</v>
      </c>
      <c r="K1870" s="15" t="str">
        <f t="shared" si="367"/>
        <v>Twitter Web Client</v>
      </c>
      <c r="L1870" s="14">
        <v>89</v>
      </c>
      <c r="M1870" s="14">
        <v>201</v>
      </c>
      <c r="N1870" s="14">
        <v>12</v>
      </c>
      <c r="O1870" s="16"/>
      <c r="P1870" s="6">
        <v>42170.489872685182</v>
      </c>
      <c r="Q1870" s="11"/>
      <c r="R1870" s="18"/>
      <c r="S1870" s="11"/>
      <c r="T1870" s="11"/>
      <c r="U1870" s="10" t="str">
        <f>HYPERLINK("https://pbs.twimg.com/profile_images/766366920354455552/HvTQghl2.jpg","View")</f>
        <v>View</v>
      </c>
    </row>
    <row r="1871" spans="1:21" ht="30.6">
      <c r="A1871" s="6">
        <v>43439.42123842593</v>
      </c>
      <c r="B1871" s="7" t="str">
        <f>HYPERLINK("https://twitter.com/isaiiki","@isaiiki")</f>
        <v>@isaiiki</v>
      </c>
      <c r="C1871" s="8" t="s">
        <v>7481</v>
      </c>
      <c r="D1871" s="9" t="s">
        <v>7482</v>
      </c>
      <c r="E1871" s="10" t="str">
        <f>HYPERLINK("https://twitter.com/isaiiki/status/1070243022636498944","1070243022636498944")</f>
        <v>1070243022636498944</v>
      </c>
      <c r="F1871" s="11"/>
      <c r="G1871" s="11"/>
      <c r="H1871" s="11"/>
      <c r="I1871" s="14">
        <v>0</v>
      </c>
      <c r="J1871" s="14">
        <v>2</v>
      </c>
      <c r="K1871" s="15" t="str">
        <f>HYPERLINK("http://twitter.com/download/android","Twitter for Android")</f>
        <v>Twitter for Android</v>
      </c>
      <c r="L1871" s="14">
        <v>3263</v>
      </c>
      <c r="M1871" s="14">
        <v>2218</v>
      </c>
      <c r="N1871" s="14">
        <v>30</v>
      </c>
      <c r="O1871" s="16"/>
      <c r="P1871" s="6">
        <v>40641.945069444446</v>
      </c>
      <c r="Q1871" s="12" t="s">
        <v>29</v>
      </c>
      <c r="R1871" s="17" t="s">
        <v>7485</v>
      </c>
      <c r="S1871" s="11"/>
      <c r="T1871" s="11"/>
      <c r="U1871" s="10" t="str">
        <f>HYPERLINK("https://pbs.twimg.com/profile_images/1046135306267824134/cOvBB_6W.jpg","View")</f>
        <v>View</v>
      </c>
    </row>
    <row r="1872" spans="1:21" ht="13.2">
      <c r="A1872" s="6">
        <v>43439.419837962967</v>
      </c>
      <c r="B1872" s="7" t="str">
        <f>HYPERLINK("https://twitter.com/RebecaLRoch","@RebecaLRoch")</f>
        <v>@RebecaLRoch</v>
      </c>
      <c r="C1872" s="8" t="s">
        <v>7488</v>
      </c>
      <c r="D1872" s="9" t="s">
        <v>2347</v>
      </c>
      <c r="E1872" s="10" t="str">
        <f>HYPERLINK("https://twitter.com/RebecaLRoch/status/1070242515503194113","1070242515503194113")</f>
        <v>1070242515503194113</v>
      </c>
      <c r="F1872" s="13" t="s">
        <v>4189</v>
      </c>
      <c r="G1872" s="11"/>
      <c r="H1872" s="11"/>
      <c r="I1872" s="14">
        <v>0</v>
      </c>
      <c r="J1872" s="14">
        <v>0</v>
      </c>
      <c r="K1872" s="15" t="str">
        <f>HYPERLINK("http://twitter.com/download/iphone","Twitter for iPhone")</f>
        <v>Twitter for iPhone</v>
      </c>
      <c r="L1872" s="14">
        <v>139</v>
      </c>
      <c r="M1872" s="14">
        <v>215</v>
      </c>
      <c r="N1872" s="14">
        <v>0</v>
      </c>
      <c r="O1872" s="16"/>
      <c r="P1872" s="6">
        <v>43203.698981481481</v>
      </c>
      <c r="Q1872" s="12" t="s">
        <v>7489</v>
      </c>
      <c r="R1872" s="18"/>
      <c r="S1872" s="11"/>
      <c r="T1872" s="11"/>
      <c r="U1872" s="10" t="str">
        <f>HYPERLINK("https://pbs.twimg.com/profile_images/1020735687899959296/mXHPsChM.jpg","View")</f>
        <v>View</v>
      </c>
    </row>
    <row r="1873" spans="1:21" ht="61.2">
      <c r="A1873" s="6">
        <v>43439.419652777782</v>
      </c>
      <c r="B1873" s="7" t="str">
        <f>HYPERLINK("https://twitter.com/AsociacionMSPE","@AsociacionMSPE")</f>
        <v>@AsociacionMSPE</v>
      </c>
      <c r="C1873" s="8" t="s">
        <v>6066</v>
      </c>
      <c r="D1873" s="9" t="s">
        <v>6067</v>
      </c>
      <c r="E1873" s="10" t="str">
        <f>HYPERLINK("https://twitter.com/AsociacionMSPE/status/1070242446410428416","1070242446410428416")</f>
        <v>1070242446410428416</v>
      </c>
      <c r="F1873" s="11"/>
      <c r="G1873" s="13" t="s">
        <v>6068</v>
      </c>
      <c r="H1873" s="11"/>
      <c r="I1873" s="14">
        <v>24</v>
      </c>
      <c r="J1873" s="14">
        <v>21</v>
      </c>
      <c r="K1873" s="15" t="str">
        <f>HYPERLINK("http://twitter.com","Twitter Web Client")</f>
        <v>Twitter Web Client</v>
      </c>
      <c r="L1873" s="14">
        <v>1490</v>
      </c>
      <c r="M1873" s="14">
        <v>1842</v>
      </c>
      <c r="N1873" s="14">
        <v>31</v>
      </c>
      <c r="O1873" s="16"/>
      <c r="P1873" s="6">
        <v>41299.961643518516</v>
      </c>
      <c r="Q1873" s="12" t="s">
        <v>137</v>
      </c>
      <c r="R1873" s="17" t="s">
        <v>6069</v>
      </c>
      <c r="S1873" s="13" t="s">
        <v>6070</v>
      </c>
      <c r="T1873" s="11"/>
      <c r="U1873" s="10" t="str">
        <f>HYPERLINK("https://pbs.twimg.com/profile_images/1012233797205745664/MOjzvGZp.jpg","View")</f>
        <v>View</v>
      </c>
    </row>
    <row r="1874" spans="1:21" ht="30.6">
      <c r="A1874" s="6">
        <v>43439.416666666672</v>
      </c>
      <c r="B1874" s="7" t="str">
        <f>HYPERLINK("https://twitter.com/pacohortado","@pacohortado")</f>
        <v>@pacohortado</v>
      </c>
      <c r="C1874" s="8" t="s">
        <v>7495</v>
      </c>
      <c r="D1874" s="9" t="s">
        <v>7496</v>
      </c>
      <c r="E1874" s="10" t="str">
        <f>HYPERLINK("https://twitter.com/pacohortado/status/1070241368335888384","1070241368335888384")</f>
        <v>1070241368335888384</v>
      </c>
      <c r="F1874" s="11"/>
      <c r="G1874" s="13" t="s">
        <v>7497</v>
      </c>
      <c r="H1874" s="11"/>
      <c r="I1874" s="14">
        <v>3</v>
      </c>
      <c r="J1874" s="14">
        <v>3</v>
      </c>
      <c r="K1874" s="15" t="str">
        <f t="shared" ref="K1874:K1877" si="368">HYPERLINK("http://twitter.com/download/android","Twitter for Android")</f>
        <v>Twitter for Android</v>
      </c>
      <c r="L1874" s="14">
        <v>2502</v>
      </c>
      <c r="M1874" s="14">
        <v>1922</v>
      </c>
      <c r="N1874" s="14">
        <v>49</v>
      </c>
      <c r="O1874" s="16"/>
      <c r="P1874" s="6">
        <v>40957.884305555555</v>
      </c>
      <c r="Q1874" s="11"/>
      <c r="R1874" s="17" t="s">
        <v>7498</v>
      </c>
      <c r="S1874" s="11"/>
      <c r="T1874" s="11"/>
      <c r="U1874" s="10" t="str">
        <f>HYPERLINK("https://pbs.twimg.com/profile_images/614868273948180480/ByNs7DtV.png","View")</f>
        <v>View</v>
      </c>
    </row>
    <row r="1875" spans="1:21" ht="51">
      <c r="A1875" s="6">
        <v>43439.415173611109</v>
      </c>
      <c r="B1875" s="7" t="str">
        <f>HYPERLINK("https://twitter.com/MarleneDiafano","@MarleneDiafano")</f>
        <v>@MarleneDiafano</v>
      </c>
      <c r="C1875" s="8" t="s">
        <v>5891</v>
      </c>
      <c r="D1875" s="9" t="s">
        <v>6075</v>
      </c>
      <c r="E1875" s="10" t="str">
        <f>HYPERLINK("https://twitter.com/MarleneDiafano/status/1070240826771587072","1070240826771587072")</f>
        <v>1070240826771587072</v>
      </c>
      <c r="F1875" s="13" t="s">
        <v>6076</v>
      </c>
      <c r="G1875" s="11"/>
      <c r="H1875" s="11"/>
      <c r="I1875" s="14">
        <v>71</v>
      </c>
      <c r="J1875" s="14">
        <v>59</v>
      </c>
      <c r="K1875" s="15" t="str">
        <f t="shared" si="368"/>
        <v>Twitter for Android</v>
      </c>
      <c r="L1875" s="14">
        <v>7667</v>
      </c>
      <c r="M1875" s="14">
        <v>6456</v>
      </c>
      <c r="N1875" s="14">
        <v>8</v>
      </c>
      <c r="O1875" s="16"/>
      <c r="P1875" s="6">
        <v>43014.941134259258</v>
      </c>
      <c r="Q1875" s="12" t="s">
        <v>60</v>
      </c>
      <c r="R1875" s="17" t="s">
        <v>5894</v>
      </c>
      <c r="S1875" s="11"/>
      <c r="T1875" s="11"/>
      <c r="U1875" s="10" t="str">
        <f>HYPERLINK("https://pbs.twimg.com/profile_images/1055541042487984128/gM3eqjFo.jpg","View")</f>
        <v>View</v>
      </c>
    </row>
    <row r="1876" spans="1:21" ht="51">
      <c r="A1876" s="6">
        <v>43439.414201388892</v>
      </c>
      <c r="B1876" s="7" t="str">
        <f>HYPERLINK("https://twitter.com/salander62","@salander62")</f>
        <v>@salander62</v>
      </c>
      <c r="C1876" s="8" t="s">
        <v>6084</v>
      </c>
      <c r="D1876" s="9" t="s">
        <v>6085</v>
      </c>
      <c r="E1876" s="10" t="str">
        <f>HYPERLINK("https://twitter.com/salander62/status/1070240473024028672","1070240473024028672")</f>
        <v>1070240473024028672</v>
      </c>
      <c r="F1876" s="11"/>
      <c r="G1876" s="11"/>
      <c r="H1876" s="11"/>
      <c r="I1876" s="14">
        <v>0</v>
      </c>
      <c r="J1876" s="14">
        <v>0</v>
      </c>
      <c r="K1876" s="15" t="str">
        <f t="shared" si="368"/>
        <v>Twitter for Android</v>
      </c>
      <c r="L1876" s="14">
        <v>2711</v>
      </c>
      <c r="M1876" s="14">
        <v>3233</v>
      </c>
      <c r="N1876" s="14">
        <v>11</v>
      </c>
      <c r="O1876" s="16"/>
      <c r="P1876" s="6">
        <v>40657.888645833329</v>
      </c>
      <c r="Q1876" s="12" t="s">
        <v>83</v>
      </c>
      <c r="R1876" s="17" t="s">
        <v>6086</v>
      </c>
      <c r="S1876" s="11"/>
      <c r="T1876" s="11"/>
      <c r="U1876" s="10" t="str">
        <f>HYPERLINK("https://pbs.twimg.com/profile_images/1057678581105602561/kneHDQym.jpg","View")</f>
        <v>View</v>
      </c>
    </row>
    <row r="1877" spans="1:21" ht="81.599999999999994">
      <c r="A1877" s="6">
        <v>43439.414108796293</v>
      </c>
      <c r="B1877" s="7" t="str">
        <f>HYPERLINK("https://twitter.com/Martha97432","@Martha97432")</f>
        <v>@Martha97432</v>
      </c>
      <c r="C1877" s="8" t="s">
        <v>6087</v>
      </c>
      <c r="D1877" s="9" t="s">
        <v>6088</v>
      </c>
      <c r="E1877" s="10" t="str">
        <f>HYPERLINK("https://twitter.com/Martha97432/status/1070240438274220032","1070240438274220032")</f>
        <v>1070240438274220032</v>
      </c>
      <c r="F1877" s="12" t="s">
        <v>6089</v>
      </c>
      <c r="G1877" s="11"/>
      <c r="H1877" s="11"/>
      <c r="I1877" s="14">
        <v>0</v>
      </c>
      <c r="J1877" s="14">
        <v>0</v>
      </c>
      <c r="K1877" s="15" t="str">
        <f t="shared" si="368"/>
        <v>Twitter for Android</v>
      </c>
      <c r="L1877" s="14">
        <v>140</v>
      </c>
      <c r="M1877" s="14">
        <v>129</v>
      </c>
      <c r="N1877" s="14">
        <v>0</v>
      </c>
      <c r="O1877" s="16"/>
      <c r="P1877" s="6">
        <v>43264.389097222222</v>
      </c>
      <c r="Q1877" s="12" t="s">
        <v>137</v>
      </c>
      <c r="R1877" s="17" t="s">
        <v>6090</v>
      </c>
      <c r="S1877" s="11"/>
      <c r="T1877" s="11"/>
      <c r="U1877" s="10" t="str">
        <f>HYPERLINK("https://pbs.twimg.com/profile_images/1069679738715848705/mxq8QToY.jpg","View")</f>
        <v>View</v>
      </c>
    </row>
    <row r="1878" spans="1:21" ht="51">
      <c r="A1878" s="6">
        <v>43439.413946759261</v>
      </c>
      <c r="B1878" s="7" t="str">
        <f>HYPERLINK("https://twitter.com/CiutadansCs","@CiutadansCs")</f>
        <v>@CiutadansCs</v>
      </c>
      <c r="C1878" s="8" t="s">
        <v>2635</v>
      </c>
      <c r="D1878" s="9" t="s">
        <v>6094</v>
      </c>
      <c r="E1878" s="10" t="str">
        <f>HYPERLINK("https://twitter.com/CiutadansCs/status/1070240378706714625","1070240378706714625")</f>
        <v>1070240378706714625</v>
      </c>
      <c r="F1878" s="13" t="s">
        <v>5873</v>
      </c>
      <c r="G1878" s="13" t="s">
        <v>6096</v>
      </c>
      <c r="H1878" s="11"/>
      <c r="I1878" s="14">
        <v>4</v>
      </c>
      <c r="J1878" s="14">
        <v>7</v>
      </c>
      <c r="K1878" s="15" t="str">
        <f>HYPERLINK("http://twitter.com","Twitter Web Client")</f>
        <v>Twitter Web Client</v>
      </c>
      <c r="L1878" s="14">
        <v>21904</v>
      </c>
      <c r="M1878" s="14">
        <v>2558</v>
      </c>
      <c r="N1878" s="14">
        <v>294</v>
      </c>
      <c r="O1878" s="19" t="s">
        <v>42</v>
      </c>
      <c r="P1878" s="6">
        <v>41884.461458333331</v>
      </c>
      <c r="Q1878" s="12" t="s">
        <v>2638</v>
      </c>
      <c r="R1878" s="17" t="s">
        <v>2639</v>
      </c>
      <c r="S1878" s="13" t="s">
        <v>822</v>
      </c>
      <c r="T1878" s="11"/>
      <c r="U1878" s="10" t="str">
        <f>HYPERLINK("https://pbs.twimg.com/profile_images/1053570460867289088/YHy8eYee.png","View")</f>
        <v>View</v>
      </c>
    </row>
    <row r="1879" spans="1:21" ht="30.6">
      <c r="A1879" s="6">
        <v>43439.411608796298</v>
      </c>
      <c r="B1879" s="7" t="str">
        <f>HYPERLINK("https://twitter.com/anapanta","@anapanta")</f>
        <v>@anapanta</v>
      </c>
      <c r="C1879" s="8" t="s">
        <v>6103</v>
      </c>
      <c r="D1879" s="9" t="s">
        <v>6104</v>
      </c>
      <c r="E1879" s="10" t="str">
        <f>HYPERLINK("https://twitter.com/anapanta/status/1070239535257305088","1070239535257305088")</f>
        <v>1070239535257305088</v>
      </c>
      <c r="F1879" s="12" t="s">
        <v>6107</v>
      </c>
      <c r="G1879" s="11"/>
      <c r="H1879" s="11"/>
      <c r="I1879" s="14">
        <v>0</v>
      </c>
      <c r="J1879" s="14">
        <v>0</v>
      </c>
      <c r="K1879" s="15" t="str">
        <f>HYPERLINK("http://twitter.com/download/iphone","Twitter for iPhone")</f>
        <v>Twitter for iPhone</v>
      </c>
      <c r="L1879" s="14">
        <v>2631</v>
      </c>
      <c r="M1879" s="14">
        <v>1930</v>
      </c>
      <c r="N1879" s="14">
        <v>140</v>
      </c>
      <c r="O1879" s="16"/>
      <c r="P1879" s="6">
        <v>40456.443564814814</v>
      </c>
      <c r="Q1879" s="12" t="s">
        <v>83</v>
      </c>
      <c r="R1879" s="17" t="s">
        <v>6108</v>
      </c>
      <c r="S1879" s="13" t="s">
        <v>6109</v>
      </c>
      <c r="T1879" s="11"/>
      <c r="U1879" s="10" t="str">
        <f>HYPERLINK("https://pbs.twimg.com/profile_images/952482926540873728/bhIJvaLy.jpg","View")</f>
        <v>View</v>
      </c>
    </row>
    <row r="1880" spans="1:21" ht="51">
      <c r="A1880" s="6">
        <v>43439.40761574074</v>
      </c>
      <c r="B1880" s="7" t="str">
        <f>HYPERLINK("https://twitter.com/CiudadanosCs","@CiudadanosCs")</f>
        <v>@CiudadanosCs</v>
      </c>
      <c r="C1880" s="8" t="s">
        <v>489</v>
      </c>
      <c r="D1880" s="9" t="s">
        <v>6114</v>
      </c>
      <c r="E1880" s="10" t="str">
        <f>HYPERLINK("https://twitter.com/CiudadanosCs/status/1070238085152169985","1070238085152169985")</f>
        <v>1070238085152169985</v>
      </c>
      <c r="F1880" s="13" t="s">
        <v>3498</v>
      </c>
      <c r="G1880" s="13" t="s">
        <v>6116</v>
      </c>
      <c r="H1880" s="11"/>
      <c r="I1880" s="14">
        <v>81</v>
      </c>
      <c r="J1880" s="14">
        <v>100</v>
      </c>
      <c r="K1880" s="15" t="str">
        <f t="shared" ref="K1880:K1881" si="369">HYPERLINK("http://twitter.com","Twitter Web Client")</f>
        <v>Twitter Web Client</v>
      </c>
      <c r="L1880" s="14">
        <v>490821</v>
      </c>
      <c r="M1880" s="14">
        <v>93557</v>
      </c>
      <c r="N1880" s="14">
        <v>3338</v>
      </c>
      <c r="O1880" s="19" t="s">
        <v>42</v>
      </c>
      <c r="P1880" s="6">
        <v>39828.753460648149</v>
      </c>
      <c r="Q1880" s="12" t="s">
        <v>137</v>
      </c>
      <c r="R1880" s="17" t="s">
        <v>492</v>
      </c>
      <c r="S1880" s="13" t="s">
        <v>493</v>
      </c>
      <c r="T1880" s="11"/>
      <c r="U1880" s="10" t="str">
        <f>HYPERLINK("https://pbs.twimg.com/profile_images/1053554096161075200/1z77_zBZ.jpg","View")</f>
        <v>View</v>
      </c>
    </row>
    <row r="1881" spans="1:21" ht="51">
      <c r="A1881" s="6">
        <v>43439.40351851852</v>
      </c>
      <c r="B1881" s="7" t="str">
        <f>HYPERLINK("https://twitter.com/migupelo2","@migupelo2")</f>
        <v>@migupelo2</v>
      </c>
      <c r="C1881" s="8" t="s">
        <v>907</v>
      </c>
      <c r="D1881" s="9" t="s">
        <v>6122</v>
      </c>
      <c r="E1881" s="10" t="str">
        <f>HYPERLINK("https://twitter.com/migupelo2/status/1070236602226667521","1070236602226667521")</f>
        <v>1070236602226667521</v>
      </c>
      <c r="F1881" s="13" t="s">
        <v>6125</v>
      </c>
      <c r="G1881" s="11"/>
      <c r="H1881" s="11"/>
      <c r="I1881" s="14">
        <v>0</v>
      </c>
      <c r="J1881" s="14">
        <v>0</v>
      </c>
      <c r="K1881" s="15" t="str">
        <f t="shared" si="369"/>
        <v>Twitter Web Client</v>
      </c>
      <c r="L1881" s="14">
        <v>266</v>
      </c>
      <c r="M1881" s="14">
        <v>771</v>
      </c>
      <c r="N1881" s="14">
        <v>18</v>
      </c>
      <c r="O1881" s="16"/>
      <c r="P1881" s="6">
        <v>40477.868043981478</v>
      </c>
      <c r="Q1881" s="11"/>
      <c r="R1881" s="17" t="s">
        <v>914</v>
      </c>
      <c r="S1881" s="11"/>
      <c r="T1881" s="11"/>
      <c r="U1881" s="10" t="str">
        <f>HYPERLINK("https://pbs.twimg.com/profile_images/2906316440/4ed1570f50fd6f70f1b28d458997dd81.jpeg","View")</f>
        <v>View</v>
      </c>
    </row>
    <row r="1882" spans="1:21" ht="81.599999999999994">
      <c r="A1882" s="6">
        <v>43439.401574074072</v>
      </c>
      <c r="B1882" s="7" t="str">
        <f>HYPERLINK("https://twitter.com/dotravez","@dotravez")</f>
        <v>@dotravez</v>
      </c>
      <c r="C1882" s="8" t="s">
        <v>6131</v>
      </c>
      <c r="D1882" s="9" t="s">
        <v>6132</v>
      </c>
      <c r="E1882" s="10" t="str">
        <f>HYPERLINK("https://twitter.com/dotravez/status/1070235898061746176","1070235898061746176")</f>
        <v>1070235898061746176</v>
      </c>
      <c r="F1882" s="13" t="s">
        <v>6133</v>
      </c>
      <c r="G1882" s="11"/>
      <c r="H1882" s="11"/>
      <c r="I1882" s="14">
        <v>0</v>
      </c>
      <c r="J1882" s="14">
        <v>0</v>
      </c>
      <c r="K1882" s="15" t="str">
        <f>HYPERLINK("http://twitter.com/download/android","Twitter for Android")</f>
        <v>Twitter for Android</v>
      </c>
      <c r="L1882" s="14">
        <v>130</v>
      </c>
      <c r="M1882" s="14">
        <v>591</v>
      </c>
      <c r="N1882" s="14">
        <v>5</v>
      </c>
      <c r="O1882" s="16"/>
      <c r="P1882" s="6">
        <v>42240.424108796295</v>
      </c>
      <c r="Q1882" s="11"/>
      <c r="R1882" s="17" t="s">
        <v>6135</v>
      </c>
      <c r="S1882" s="11"/>
      <c r="T1882" s="11"/>
      <c r="U1882" s="10" t="str">
        <f>HYPERLINK("https://pbs.twimg.com/profile_images/635955194946306049/bBCYlZOi.jpg","View")</f>
        <v>View</v>
      </c>
    </row>
    <row r="1883" spans="1:21" ht="40.799999999999997">
      <c r="A1883" s="6">
        <v>43439.399502314816</v>
      </c>
      <c r="B1883" s="7" t="str">
        <f>HYPERLINK("https://twitter.com/lafuerzadelsur","@lafuerzadelsur")</f>
        <v>@lafuerzadelsur</v>
      </c>
      <c r="C1883" s="8" t="s">
        <v>7521</v>
      </c>
      <c r="D1883" s="9" t="s">
        <v>7522</v>
      </c>
      <c r="E1883" s="10" t="str">
        <f>HYPERLINK("https://twitter.com/lafuerzadelsur/status/1070235144391417856","1070235144391417856")</f>
        <v>1070235144391417856</v>
      </c>
      <c r="F1883" s="11"/>
      <c r="G1883" s="13" t="s">
        <v>6242</v>
      </c>
      <c r="H1883" s="11"/>
      <c r="I1883" s="14">
        <v>5</v>
      </c>
      <c r="J1883" s="14">
        <v>8</v>
      </c>
      <c r="K1883" s="15" t="str">
        <f>HYPERLINK("https://ifttt.com","IFTTT")</f>
        <v>IFTTT</v>
      </c>
      <c r="L1883" s="14">
        <v>4437</v>
      </c>
      <c r="M1883" s="14">
        <v>4016</v>
      </c>
      <c r="N1883" s="14">
        <v>23</v>
      </c>
      <c r="O1883" s="16"/>
      <c r="P1883" s="6">
        <v>42027.949699074074</v>
      </c>
      <c r="Q1883" s="12" t="s">
        <v>137</v>
      </c>
      <c r="R1883" s="17" t="s">
        <v>7525</v>
      </c>
      <c r="S1883" s="13" t="s">
        <v>7526</v>
      </c>
      <c r="T1883" s="11"/>
      <c r="U1883" s="10" t="str">
        <f>HYPERLINK("https://pbs.twimg.com/profile_images/849175466078597120/IhvyUqkP.jpg","View")</f>
        <v>View</v>
      </c>
    </row>
    <row r="1884" spans="1:21" ht="51">
      <c r="A1884" s="6">
        <v>43439.398020833338</v>
      </c>
      <c r="B1884" s="7" t="str">
        <f>HYPERLINK("https://twitter.com/PapyRocco","@PapyRocco")</f>
        <v>@PapyRocco</v>
      </c>
      <c r="C1884" s="8" t="s">
        <v>2434</v>
      </c>
      <c r="D1884" s="9" t="s">
        <v>7527</v>
      </c>
      <c r="E1884" s="10" t="str">
        <f>HYPERLINK("https://twitter.com/PapyRocco/status/1070234607386288128","1070234607386288128")</f>
        <v>1070234607386288128</v>
      </c>
      <c r="F1884" s="11"/>
      <c r="G1884" s="11"/>
      <c r="H1884" s="11"/>
      <c r="I1884" s="14">
        <v>0</v>
      </c>
      <c r="J1884" s="14">
        <v>2</v>
      </c>
      <c r="K1884" s="15" t="str">
        <f t="shared" ref="K1884:K1885" si="370">HYPERLINK("http://twitter.com/download/android","Twitter for Android")</f>
        <v>Twitter for Android</v>
      </c>
      <c r="L1884" s="14">
        <v>250</v>
      </c>
      <c r="M1884" s="14">
        <v>237</v>
      </c>
      <c r="N1884" s="14">
        <v>1</v>
      </c>
      <c r="O1884" s="16"/>
      <c r="P1884" s="6">
        <v>41092.004699074074</v>
      </c>
      <c r="Q1884" s="12" t="s">
        <v>7530</v>
      </c>
      <c r="R1884" s="17" t="s">
        <v>7531</v>
      </c>
      <c r="S1884" s="11"/>
      <c r="T1884" s="11"/>
      <c r="U1884" s="10" t="str">
        <f>HYPERLINK("https://pbs.twimg.com/profile_images/1051763372277059584/j8Yek0PX.jpg","View")</f>
        <v>View</v>
      </c>
    </row>
    <row r="1885" spans="1:21" ht="61.2">
      <c r="A1885" s="6">
        <v>43439.396932870368</v>
      </c>
      <c r="B1885" s="7" t="str">
        <f>HYPERLINK("https://twitter.com/CASADELABONO","@CASADELABONO")</f>
        <v>@CASADELABONO</v>
      </c>
      <c r="C1885" s="8" t="s">
        <v>6138</v>
      </c>
      <c r="D1885" s="9" t="s">
        <v>6139</v>
      </c>
      <c r="E1885" s="10" t="str">
        <f>HYPERLINK("https://twitter.com/CASADELABONO/status/1070234216376471553","1070234216376471553")</f>
        <v>1070234216376471553</v>
      </c>
      <c r="F1885" s="11"/>
      <c r="G1885" s="11"/>
      <c r="H1885" s="11"/>
      <c r="I1885" s="14">
        <v>0</v>
      </c>
      <c r="J1885" s="14">
        <v>0</v>
      </c>
      <c r="K1885" s="15" t="str">
        <f t="shared" si="370"/>
        <v>Twitter for Android</v>
      </c>
      <c r="L1885" s="14">
        <v>55</v>
      </c>
      <c r="M1885" s="14">
        <v>173</v>
      </c>
      <c r="N1885" s="14">
        <v>2</v>
      </c>
      <c r="O1885" s="16"/>
      <c r="P1885" s="6">
        <v>41394.570416666669</v>
      </c>
      <c r="Q1885" s="11"/>
      <c r="R1885" s="18"/>
      <c r="S1885" s="11"/>
      <c r="T1885" s="11"/>
      <c r="U1885" s="10" t="str">
        <f>HYPERLINK("https://pbs.twimg.com/profile_images/854383143117361152/uYDwD3Bo.jpg","View")</f>
        <v>View</v>
      </c>
    </row>
    <row r="1886" spans="1:21" ht="20.399999999999999">
      <c r="A1886" s="6">
        <v>43439.39675925926</v>
      </c>
      <c r="B1886" s="7" t="str">
        <f>HYPERLINK("https://twitter.com/lucenzio","@lucenzio")</f>
        <v>@lucenzio</v>
      </c>
      <c r="C1886" s="8" t="s">
        <v>6140</v>
      </c>
      <c r="D1886" s="9" t="s">
        <v>6141</v>
      </c>
      <c r="E1886" s="10" t="str">
        <f>HYPERLINK("https://twitter.com/lucenzio/status/1070234150601453568","1070234150601453568")</f>
        <v>1070234150601453568</v>
      </c>
      <c r="F1886" s="11"/>
      <c r="G1886" s="11"/>
      <c r="H1886" s="11"/>
      <c r="I1886" s="14">
        <v>3</v>
      </c>
      <c r="J1886" s="14">
        <v>5</v>
      </c>
      <c r="K1886" s="15" t="str">
        <f>HYPERLINK("http://twitter.com/download/iphone","Twitter for iPhone")</f>
        <v>Twitter for iPhone</v>
      </c>
      <c r="L1886" s="14">
        <v>468</v>
      </c>
      <c r="M1886" s="14">
        <v>1516</v>
      </c>
      <c r="N1886" s="14">
        <v>17</v>
      </c>
      <c r="O1886" s="16"/>
      <c r="P1886" s="6">
        <v>40669.540902777779</v>
      </c>
      <c r="Q1886" s="11"/>
      <c r="R1886" s="17" t="s">
        <v>6142</v>
      </c>
      <c r="S1886" s="11"/>
      <c r="T1886" s="11"/>
      <c r="U1886" s="10" t="str">
        <f>HYPERLINK("https://pbs.twimg.com/profile_images/952650839809806337/kgaXLmvx.jpg","View")</f>
        <v>View</v>
      </c>
    </row>
    <row r="1887" spans="1:21" ht="122.4">
      <c r="A1887" s="6">
        <v>43439.395138888889</v>
      </c>
      <c r="B1887" s="7" t="str">
        <f>HYPERLINK("https://twitter.com/epesimo","@epesimo")</f>
        <v>@epesimo</v>
      </c>
      <c r="C1887" s="8" t="s">
        <v>3679</v>
      </c>
      <c r="D1887" s="9" t="s">
        <v>6143</v>
      </c>
      <c r="E1887" s="10" t="str">
        <f>HYPERLINK("https://twitter.com/epesimo/status/1070233562866167808","1070233562866167808")</f>
        <v>1070233562866167808</v>
      </c>
      <c r="F1887" s="13" t="s">
        <v>6144</v>
      </c>
      <c r="G1887" s="11"/>
      <c r="H1887" s="11"/>
      <c r="I1887" s="14">
        <v>0</v>
      </c>
      <c r="J1887" s="14">
        <v>0</v>
      </c>
      <c r="K1887" s="15" t="str">
        <f>HYPERLINK("http://twitter.com/download/android","Twitter for Android")</f>
        <v>Twitter for Android</v>
      </c>
      <c r="L1887" s="14">
        <v>193</v>
      </c>
      <c r="M1887" s="14">
        <v>20</v>
      </c>
      <c r="N1887" s="14">
        <v>5</v>
      </c>
      <c r="O1887" s="16"/>
      <c r="P1887" s="6">
        <v>40615.388587962967</v>
      </c>
      <c r="Q1887" s="12" t="s">
        <v>3684</v>
      </c>
      <c r="R1887" s="18"/>
      <c r="S1887" s="13" t="s">
        <v>3685</v>
      </c>
      <c r="T1887" s="11"/>
      <c r="U1887" s="10" t="str">
        <f>HYPERLINK("https://pbs.twimg.com/profile_images/1733161681/epesimo.jpg","View")</f>
        <v>View</v>
      </c>
    </row>
    <row r="1888" spans="1:21" ht="30.6">
      <c r="A1888" s="6">
        <v>43439.394780092596</v>
      </c>
      <c r="B1888" s="7" t="str">
        <f>HYPERLINK("https://twitter.com/elenagonzalezw","@elenagonzalezw")</f>
        <v>@elenagonzalezw</v>
      </c>
      <c r="C1888" s="8" t="s">
        <v>6148</v>
      </c>
      <c r="D1888" s="9" t="s">
        <v>6149</v>
      </c>
      <c r="E1888" s="10" t="str">
        <f>HYPERLINK("https://twitter.com/elenagonzalezw/status/1070233434432434177","1070233434432434177")</f>
        <v>1070233434432434177</v>
      </c>
      <c r="F1888" s="11"/>
      <c r="G1888" s="11"/>
      <c r="H1888" s="11"/>
      <c r="I1888" s="14">
        <v>0</v>
      </c>
      <c r="J1888" s="14">
        <v>2</v>
      </c>
      <c r="K1888" s="15" t="str">
        <f>HYPERLINK("http://twitter.com","Twitter Web Client")</f>
        <v>Twitter Web Client</v>
      </c>
      <c r="L1888" s="14">
        <v>486</v>
      </c>
      <c r="M1888" s="14">
        <v>565</v>
      </c>
      <c r="N1888" s="14">
        <v>12</v>
      </c>
      <c r="O1888" s="16"/>
      <c r="P1888" s="6">
        <v>41708.896979166668</v>
      </c>
      <c r="Q1888" s="11"/>
      <c r="R1888" s="17" t="s">
        <v>6150</v>
      </c>
      <c r="S1888" s="13" t="s">
        <v>6151</v>
      </c>
      <c r="T1888" s="11"/>
      <c r="U1888" s="10" t="str">
        <f>HYPERLINK("https://pbs.twimg.com/profile_images/1064625649804066816/Pk7Wloo7.jpg","View")</f>
        <v>View</v>
      </c>
    </row>
    <row r="1889" spans="1:21" ht="40.799999999999997">
      <c r="A1889" s="6">
        <v>43439.393657407403</v>
      </c>
      <c r="B1889" s="7" t="str">
        <f>HYPERLINK("https://twitter.com/jj4lejandro","@jj4lejandro")</f>
        <v>@jj4lejandro</v>
      </c>
      <c r="C1889" s="8" t="s">
        <v>5677</v>
      </c>
      <c r="D1889" s="9" t="s">
        <v>6155</v>
      </c>
      <c r="E1889" s="10" t="str">
        <f>HYPERLINK("https://twitter.com/jj4lejandro/status/1070233026825732098","1070233026825732098")</f>
        <v>1070233026825732098</v>
      </c>
      <c r="F1889" s="11"/>
      <c r="G1889" s="13" t="s">
        <v>6156</v>
      </c>
      <c r="H1889" s="11"/>
      <c r="I1889" s="14">
        <v>0</v>
      </c>
      <c r="J1889" s="14">
        <v>0</v>
      </c>
      <c r="K1889" s="15" t="str">
        <f>HYPERLINK("http://twitter.com/download/iphone","Twitter for iPhone")</f>
        <v>Twitter for iPhone</v>
      </c>
      <c r="L1889" s="14">
        <v>162</v>
      </c>
      <c r="M1889" s="14">
        <v>371</v>
      </c>
      <c r="N1889" s="14">
        <v>1</v>
      </c>
      <c r="O1889" s="16"/>
      <c r="P1889" s="6">
        <v>43244.769988425927</v>
      </c>
      <c r="Q1889" s="12" t="s">
        <v>5681</v>
      </c>
      <c r="R1889" s="17" t="s">
        <v>5682</v>
      </c>
      <c r="S1889" s="11"/>
      <c r="T1889" s="11"/>
      <c r="U1889" s="10" t="str">
        <f>HYPERLINK("https://pbs.twimg.com/profile_images/1069318060987875329/wVubChFp.jpg","View")</f>
        <v>View</v>
      </c>
    </row>
    <row r="1890" spans="1:21" ht="40.799999999999997">
      <c r="A1890" s="6">
        <v>43439.391655092593</v>
      </c>
      <c r="B1890" s="7" t="str">
        <f>HYPERLINK("https://twitter.com/Alberto_deJesus","@Alberto_deJesus")</f>
        <v>@Alberto_deJesus</v>
      </c>
      <c r="C1890" s="8" t="s">
        <v>5634</v>
      </c>
      <c r="D1890" s="9" t="s">
        <v>6159</v>
      </c>
      <c r="E1890" s="10" t="str">
        <f>HYPERLINK("https://twitter.com/Alberto_deJesus/status/1070232303916474368","1070232303916474368")</f>
        <v>1070232303916474368</v>
      </c>
      <c r="F1890" s="11"/>
      <c r="G1890" s="11"/>
      <c r="H1890" s="11"/>
      <c r="I1890" s="14">
        <v>1</v>
      </c>
      <c r="J1890" s="14">
        <v>1</v>
      </c>
      <c r="K1890" s="15" t="str">
        <f>HYPERLINK("http://twitter.com","Twitter Web Client")</f>
        <v>Twitter Web Client</v>
      </c>
      <c r="L1890" s="14">
        <v>1088</v>
      </c>
      <c r="M1890" s="14">
        <v>2076</v>
      </c>
      <c r="N1890" s="14">
        <v>13</v>
      </c>
      <c r="O1890" s="16"/>
      <c r="P1890" s="6">
        <v>40577.815011574072</v>
      </c>
      <c r="Q1890" s="11"/>
      <c r="R1890" s="17" t="s">
        <v>5637</v>
      </c>
      <c r="S1890" s="11"/>
      <c r="T1890" s="11"/>
      <c r="U1890" s="10" t="str">
        <f>HYPERLINK("https://pbs.twimg.com/profile_images/951506738431348737/6cR4Ai9G.jpg","View")</f>
        <v>View</v>
      </c>
    </row>
    <row r="1891" spans="1:21" ht="51">
      <c r="A1891" s="6">
        <v>43439.389189814814</v>
      </c>
      <c r="B1891" s="7" t="str">
        <f>HYPERLINK("https://twitter.com/ReinaSonia","@ReinaSonia")</f>
        <v>@ReinaSonia</v>
      </c>
      <c r="C1891" s="8" t="s">
        <v>6160</v>
      </c>
      <c r="D1891" s="9" t="s">
        <v>6161</v>
      </c>
      <c r="E1891" s="10" t="str">
        <f>HYPERLINK("https://twitter.com/ReinaSonia/status/1070231409795715072","1070231409795715072")</f>
        <v>1070231409795715072</v>
      </c>
      <c r="F1891" s="11"/>
      <c r="G1891" s="13" t="s">
        <v>6162</v>
      </c>
      <c r="H1891" s="11"/>
      <c r="I1891" s="14">
        <v>2</v>
      </c>
      <c r="J1891" s="14">
        <v>4</v>
      </c>
      <c r="K1891" s="15" t="str">
        <f>HYPERLINK("http://twitter.com/download/android","Twitter for Android")</f>
        <v>Twitter for Android</v>
      </c>
      <c r="L1891" s="14">
        <v>7679</v>
      </c>
      <c r="M1891" s="14">
        <v>1535</v>
      </c>
      <c r="N1891" s="14">
        <v>137</v>
      </c>
      <c r="O1891" s="16"/>
      <c r="P1891" s="6">
        <v>40442.647812499999</v>
      </c>
      <c r="Q1891" s="12" t="s">
        <v>83</v>
      </c>
      <c r="R1891" s="17" t="s">
        <v>6163</v>
      </c>
      <c r="S1891" s="11"/>
      <c r="T1891" s="11"/>
      <c r="U1891" s="10" t="str">
        <f>HYPERLINK("https://pbs.twimg.com/profile_images/1070460483646439424/HhMfnPYT.jpg","View")</f>
        <v>View</v>
      </c>
    </row>
    <row r="1892" spans="1:21" ht="40.799999999999997">
      <c r="A1892" s="6">
        <v>43439.389178240745</v>
      </c>
      <c r="B1892" s="7" t="str">
        <f>HYPERLINK("https://twitter.com/Sanfermin00","@Sanfermin00")</f>
        <v>@Sanfermin00</v>
      </c>
      <c r="C1892" s="8" t="s">
        <v>2763</v>
      </c>
      <c r="D1892" s="9" t="s">
        <v>7542</v>
      </c>
      <c r="E1892" s="10" t="str">
        <f>HYPERLINK("https://twitter.com/Sanfermin00/status/1070231406721290240","1070231406721290240")</f>
        <v>1070231406721290240</v>
      </c>
      <c r="F1892" s="13" t="s">
        <v>7544</v>
      </c>
      <c r="G1892" s="11"/>
      <c r="H1892" s="11"/>
      <c r="I1892" s="14">
        <v>0</v>
      </c>
      <c r="J1892" s="14">
        <v>0</v>
      </c>
      <c r="K1892" s="15" t="str">
        <f>HYPERLINK("http://twitter.com","Twitter Web Client")</f>
        <v>Twitter Web Client</v>
      </c>
      <c r="L1892" s="14">
        <v>16528</v>
      </c>
      <c r="M1892" s="14">
        <v>13714</v>
      </c>
      <c r="N1892" s="14">
        <v>122</v>
      </c>
      <c r="O1892" s="16"/>
      <c r="P1892" s="6">
        <v>42362.637083333335</v>
      </c>
      <c r="Q1892" s="12" t="s">
        <v>2767</v>
      </c>
      <c r="R1892" s="17" t="s">
        <v>2768</v>
      </c>
      <c r="S1892" s="13" t="s">
        <v>2769</v>
      </c>
      <c r="T1892" s="11"/>
      <c r="U1892" s="10" t="str">
        <f>HYPERLINK("https://pbs.twimg.com/profile_images/1064102923624480768/j11dV2-u.jpg","View")</f>
        <v>View</v>
      </c>
    </row>
    <row r="1893" spans="1:21" ht="61.2">
      <c r="A1893" s="6">
        <v>43439.389143518521</v>
      </c>
      <c r="B1893" s="7" t="str">
        <f>HYPERLINK("https://twitter.com/HelloTabarnia","@HelloTabarnia")</f>
        <v>@HelloTabarnia</v>
      </c>
      <c r="C1893" s="8" t="s">
        <v>2735</v>
      </c>
      <c r="D1893" s="9" t="s">
        <v>6168</v>
      </c>
      <c r="E1893" s="10" t="str">
        <f>HYPERLINK("https://twitter.com/HelloTabarnia/status/1070231392590671873","1070231392590671873")</f>
        <v>1070231392590671873</v>
      </c>
      <c r="F1893" s="13" t="s">
        <v>6169</v>
      </c>
      <c r="G1893" s="11"/>
      <c r="H1893" s="11"/>
      <c r="I1893" s="14">
        <v>0</v>
      </c>
      <c r="J1893" s="14">
        <v>0</v>
      </c>
      <c r="K1893" s="15" t="str">
        <f t="shared" ref="K1893:K1894" si="371">HYPERLINK("http://twitter.com/download/android","Twitter for Android")</f>
        <v>Twitter for Android</v>
      </c>
      <c r="L1893" s="14">
        <v>472</v>
      </c>
      <c r="M1893" s="14">
        <v>1002</v>
      </c>
      <c r="N1893" s="14">
        <v>4</v>
      </c>
      <c r="O1893" s="16"/>
      <c r="P1893" s="6">
        <v>41164.871203703704</v>
      </c>
      <c r="Q1893" s="12" t="s">
        <v>137</v>
      </c>
      <c r="R1893" s="18"/>
      <c r="S1893" s="11"/>
      <c r="T1893" s="11"/>
      <c r="U1893" s="10" t="str">
        <f>HYPERLINK("https://pbs.twimg.com/profile_images/551141362352263168/aqHFgCPU.jpeg","View")</f>
        <v>View</v>
      </c>
    </row>
    <row r="1894" spans="1:21" ht="30.6">
      <c r="A1894" s="6">
        <v>43439.388749999998</v>
      </c>
      <c r="B1894" s="7" t="str">
        <f>HYPERLINK("https://twitter.com/desamparadosb","@desamparadosb")</f>
        <v>@desamparadosb</v>
      </c>
      <c r="C1894" s="8" t="s">
        <v>7552</v>
      </c>
      <c r="D1894" s="9" t="s">
        <v>7553</v>
      </c>
      <c r="E1894" s="10" t="str">
        <f>HYPERLINK("https://twitter.com/desamparadosb/status/1070231247836889088","1070231247836889088")</f>
        <v>1070231247836889088</v>
      </c>
      <c r="F1894" s="11"/>
      <c r="G1894" s="11"/>
      <c r="H1894" s="11"/>
      <c r="I1894" s="14">
        <v>13</v>
      </c>
      <c r="J1894" s="14">
        <v>19</v>
      </c>
      <c r="K1894" s="15" t="str">
        <f t="shared" si="371"/>
        <v>Twitter for Android</v>
      </c>
      <c r="L1894" s="14">
        <v>8883</v>
      </c>
      <c r="M1894" s="14">
        <v>8773</v>
      </c>
      <c r="N1894" s="14">
        <v>76</v>
      </c>
      <c r="O1894" s="16"/>
      <c r="P1894" s="6">
        <v>40588.655810185184</v>
      </c>
      <c r="Q1894" s="12" t="s">
        <v>1928</v>
      </c>
      <c r="R1894" s="17" t="s">
        <v>7556</v>
      </c>
      <c r="S1894" s="11"/>
      <c r="T1894" s="11"/>
      <c r="U1894" s="10" t="str">
        <f>HYPERLINK("https://pbs.twimg.com/profile_images/1071316502400380929/GDjuUQlT.jpg","View")</f>
        <v>View</v>
      </c>
    </row>
    <row r="1895" spans="1:21" ht="71.400000000000006">
      <c r="A1895" s="6">
        <v>43439.388067129628</v>
      </c>
      <c r="B1895" s="7" t="str">
        <f>HYPERLINK("https://twitter.com/AlvaroNarvaez4","@AlvaroNarvaez4")</f>
        <v>@AlvaroNarvaez4</v>
      </c>
      <c r="C1895" s="8" t="s">
        <v>6171</v>
      </c>
      <c r="D1895" s="9" t="s">
        <v>6172</v>
      </c>
      <c r="E1895" s="10" t="str">
        <f>HYPERLINK("https://twitter.com/AlvaroNarvaez4/status/1070231002566537216","1070231002566537216")</f>
        <v>1070231002566537216</v>
      </c>
      <c r="F1895" s="13" t="s">
        <v>6173</v>
      </c>
      <c r="G1895" s="11"/>
      <c r="H1895" s="11"/>
      <c r="I1895" s="14">
        <v>0</v>
      </c>
      <c r="J1895" s="14">
        <v>0</v>
      </c>
      <c r="K1895" s="15" t="str">
        <f>HYPERLINK("http://twitter.com/download/iphone","Twitter for iPhone")</f>
        <v>Twitter for iPhone</v>
      </c>
      <c r="L1895" s="14">
        <v>121</v>
      </c>
      <c r="M1895" s="14">
        <v>291</v>
      </c>
      <c r="N1895" s="14">
        <v>5</v>
      </c>
      <c r="O1895" s="16"/>
      <c r="P1895" s="6">
        <v>40621.532314814816</v>
      </c>
      <c r="Q1895" s="12" t="s">
        <v>2996</v>
      </c>
      <c r="R1895" s="17" t="s">
        <v>6177</v>
      </c>
      <c r="S1895" s="11"/>
      <c r="T1895" s="11"/>
      <c r="U1895" s="10" t="str">
        <f>HYPERLINK("https://pbs.twimg.com/profile_images/565665652435066881/KOfgXIC2.jpeg","View")</f>
        <v>View</v>
      </c>
    </row>
    <row r="1896" spans="1:21" ht="20.399999999999999">
      <c r="A1896" s="6">
        <v>43439.387303240743</v>
      </c>
      <c r="B1896" s="7" t="str">
        <f>HYPERLINK("https://twitter.com/XaviIniestaSi","@XaviIniestaSi")</f>
        <v>@XaviIniestaSi</v>
      </c>
      <c r="C1896" s="8" t="s">
        <v>7564</v>
      </c>
      <c r="D1896" s="9" t="s">
        <v>7565</v>
      </c>
      <c r="E1896" s="10" t="str">
        <f>HYPERLINK("https://twitter.com/XaviIniestaSi/status/1070230723594993664","1070230723594993664")</f>
        <v>1070230723594993664</v>
      </c>
      <c r="F1896" s="13" t="s">
        <v>7566</v>
      </c>
      <c r="G1896" s="11"/>
      <c r="H1896" s="11"/>
      <c r="I1896" s="14">
        <v>0</v>
      </c>
      <c r="J1896" s="14">
        <v>0</v>
      </c>
      <c r="K1896" s="15" t="str">
        <f>HYPERLINK("http://www.facebook.com/twitter","Facebook")</f>
        <v>Facebook</v>
      </c>
      <c r="L1896" s="14">
        <v>489</v>
      </c>
      <c r="M1896" s="14">
        <v>763</v>
      </c>
      <c r="N1896" s="14">
        <v>11</v>
      </c>
      <c r="O1896" s="16"/>
      <c r="P1896" s="6">
        <v>40511.429363425923</v>
      </c>
      <c r="Q1896" s="12" t="s">
        <v>83</v>
      </c>
      <c r="R1896" s="28" t="s">
        <v>7568</v>
      </c>
      <c r="S1896" s="11"/>
      <c r="T1896" s="11"/>
      <c r="U1896" s="10" t="str">
        <f>HYPERLINK("https://pbs.twimg.com/profile_images/1038826432846286848/XAxMRFc8.jpg","View")</f>
        <v>View</v>
      </c>
    </row>
    <row r="1897" spans="1:21" ht="30.6">
      <c r="A1897" s="6">
        <v>43439.387256944443</v>
      </c>
      <c r="B1897" s="7" t="str">
        <f>HYPERLINK("https://twitter.com/Yo_Soy_Asin","@Yo_Soy_Asin")</f>
        <v>@Yo_Soy_Asin</v>
      </c>
      <c r="C1897" s="8" t="s">
        <v>6179</v>
      </c>
      <c r="D1897" s="9" t="s">
        <v>6180</v>
      </c>
      <c r="E1897" s="10" t="str">
        <f>HYPERLINK("https://twitter.com/Yo_Soy_Asin/status/1070230707715350528","1070230707715350528")</f>
        <v>1070230707715350528</v>
      </c>
      <c r="F1897" s="11"/>
      <c r="G1897" s="11"/>
      <c r="H1897" s="11"/>
      <c r="I1897" s="14">
        <v>68</v>
      </c>
      <c r="J1897" s="14">
        <v>69</v>
      </c>
      <c r="K1897" s="15" t="str">
        <f>HYPERLINK("http://twitter.com/download/android","Twitter for Android")</f>
        <v>Twitter for Android</v>
      </c>
      <c r="L1897" s="14">
        <v>31718</v>
      </c>
      <c r="M1897" s="14">
        <v>8273</v>
      </c>
      <c r="N1897" s="14">
        <v>311</v>
      </c>
      <c r="O1897" s="16"/>
      <c r="P1897" s="6">
        <v>41967.764976851853</v>
      </c>
      <c r="Q1897" s="12" t="s">
        <v>6181</v>
      </c>
      <c r="R1897" s="17" t="s">
        <v>6182</v>
      </c>
      <c r="S1897" s="11"/>
      <c r="T1897" s="11"/>
      <c r="U1897" s="10" t="str">
        <f>HYPERLINK("https://pbs.twimg.com/profile_images/1048246938641059840/dCLHzACC.jpg","View")</f>
        <v>View</v>
      </c>
    </row>
    <row r="1898" spans="1:21" ht="102">
      <c r="A1898" s="6">
        <v>43439.385682870372</v>
      </c>
      <c r="B1898" s="7" t="str">
        <f>HYPERLINK("https://twitter.com/heber_rizzo","@heber_rizzo")</f>
        <v>@heber_rizzo</v>
      </c>
      <c r="C1898" s="8" t="s">
        <v>6185</v>
      </c>
      <c r="D1898" s="9" t="s">
        <v>6186</v>
      </c>
      <c r="E1898" s="10" t="str">
        <f>HYPERLINK("https://twitter.com/heber_rizzo/status/1070230138569351168","1070230138569351168")</f>
        <v>1070230138569351168</v>
      </c>
      <c r="F1898" s="12" t="s">
        <v>6089</v>
      </c>
      <c r="G1898" s="11"/>
      <c r="H1898" s="11"/>
      <c r="I1898" s="14">
        <v>1</v>
      </c>
      <c r="J1898" s="14">
        <v>1</v>
      </c>
      <c r="K1898" s="15" t="str">
        <f>HYPERLINK("http://twitter.com","Twitter Web Client")</f>
        <v>Twitter Web Client</v>
      </c>
      <c r="L1898" s="14">
        <v>2344</v>
      </c>
      <c r="M1898" s="14">
        <v>4834</v>
      </c>
      <c r="N1898" s="14">
        <v>53</v>
      </c>
      <c r="O1898" s="16"/>
      <c r="P1898" s="6">
        <v>40602.6956712963</v>
      </c>
      <c r="Q1898" s="12" t="s">
        <v>6188</v>
      </c>
      <c r="R1898" s="17" t="s">
        <v>6189</v>
      </c>
      <c r="S1898" s="13" t="s">
        <v>6190</v>
      </c>
      <c r="T1898" s="11"/>
      <c r="U1898" s="10" t="str">
        <f>HYPERLINK("https://pbs.twimg.com/profile_images/1257674068/Heber_100910__retrato_con_Pe_a_de_Oroel_al_fondo_-_avatar_2.jpg","View")</f>
        <v>View</v>
      </c>
    </row>
    <row r="1899" spans="1:21" ht="51">
      <c r="A1899" s="6">
        <v>43439.385219907403</v>
      </c>
      <c r="B1899" s="7" t="str">
        <f>HYPERLINK("https://twitter.com/jmarcos78","@jmarcos78")</f>
        <v>@jmarcos78</v>
      </c>
      <c r="C1899" s="8" t="s">
        <v>2982</v>
      </c>
      <c r="D1899" s="9" t="s">
        <v>6191</v>
      </c>
      <c r="E1899" s="10" t="str">
        <f>HYPERLINK("https://twitter.com/jmarcos78/status/1070229970897829888","1070229970897829888")</f>
        <v>1070229970897829888</v>
      </c>
      <c r="F1899" s="11"/>
      <c r="G1899" s="11"/>
      <c r="H1899" s="11"/>
      <c r="I1899" s="14">
        <v>18</v>
      </c>
      <c r="J1899" s="14">
        <v>23</v>
      </c>
      <c r="K1899" s="15" t="str">
        <f t="shared" ref="K1899:K1900" si="372">HYPERLINK("http://twitter.com/download/android","Twitter for Android")</f>
        <v>Twitter for Android</v>
      </c>
      <c r="L1899" s="14">
        <v>4988</v>
      </c>
      <c r="M1899" s="14">
        <v>1330</v>
      </c>
      <c r="N1899" s="14">
        <v>241</v>
      </c>
      <c r="O1899" s="16"/>
      <c r="P1899" s="6">
        <v>40304.757696759261</v>
      </c>
      <c r="Q1899" s="12" t="s">
        <v>29</v>
      </c>
      <c r="R1899" s="17" t="s">
        <v>2984</v>
      </c>
      <c r="S1899" s="13" t="s">
        <v>2985</v>
      </c>
      <c r="T1899" s="11"/>
      <c r="U1899" s="10" t="str">
        <f>HYPERLINK("https://pbs.twimg.com/profile_images/944712823724224512/_tsDftoS.jpg","View")</f>
        <v>View</v>
      </c>
    </row>
    <row r="1900" spans="1:21" ht="51">
      <c r="A1900" s="6">
        <v>43439.384768518517</v>
      </c>
      <c r="B1900" s="7" t="str">
        <f>HYPERLINK("https://twitter.com/A_sertivo","@A_sertivo")</f>
        <v>@A_sertivo</v>
      </c>
      <c r="C1900" s="8" t="s">
        <v>6194</v>
      </c>
      <c r="D1900" s="9" t="s">
        <v>6195</v>
      </c>
      <c r="E1900" s="10" t="str">
        <f>HYPERLINK("https://twitter.com/A_sertivo/status/1070229807747788802","1070229807747788802")</f>
        <v>1070229807747788802</v>
      </c>
      <c r="F1900" s="11"/>
      <c r="G1900" s="13" t="s">
        <v>6196</v>
      </c>
      <c r="H1900" s="11"/>
      <c r="I1900" s="14">
        <v>0</v>
      </c>
      <c r="J1900" s="14">
        <v>0</v>
      </c>
      <c r="K1900" s="15" t="str">
        <f t="shared" si="372"/>
        <v>Twitter for Android</v>
      </c>
      <c r="L1900" s="14">
        <v>242</v>
      </c>
      <c r="M1900" s="14">
        <v>600</v>
      </c>
      <c r="N1900" s="14">
        <v>2</v>
      </c>
      <c r="O1900" s="16"/>
      <c r="P1900" s="6">
        <v>41662.762384259258</v>
      </c>
      <c r="Q1900" s="11"/>
      <c r="R1900" s="17" t="s">
        <v>6199</v>
      </c>
      <c r="S1900" s="13" t="s">
        <v>6200</v>
      </c>
      <c r="T1900" s="11"/>
      <c r="U1900" s="10" t="str">
        <f>HYPERLINK("https://pbs.twimg.com/profile_images/829472221890486272/_V_Rhy0k.jpg","View")</f>
        <v>View</v>
      </c>
    </row>
    <row r="1901" spans="1:21" ht="40.799999999999997">
      <c r="A1901" s="6">
        <v>43439.38453703704</v>
      </c>
      <c r="B1901" s="7" t="str">
        <f>HYPERLINK("https://twitter.com/JC_Villanueva","@JC_Villanueva")</f>
        <v>@JC_Villanueva</v>
      </c>
      <c r="C1901" s="8" t="s">
        <v>6203</v>
      </c>
      <c r="D1901" s="9" t="s">
        <v>6204</v>
      </c>
      <c r="E1901" s="10" t="str">
        <f>HYPERLINK("https://twitter.com/JC_Villanueva/status/1070229722339205120","1070229722339205120")</f>
        <v>1070229722339205120</v>
      </c>
      <c r="F1901" s="11"/>
      <c r="G1901" s="11"/>
      <c r="H1901" s="11"/>
      <c r="I1901" s="14">
        <v>2</v>
      </c>
      <c r="J1901" s="14">
        <v>2</v>
      </c>
      <c r="K1901" s="15" t="str">
        <f>HYPERLINK("http://twitter.com/download/iphone","Twitter for iPhone")</f>
        <v>Twitter for iPhone</v>
      </c>
      <c r="L1901" s="14">
        <v>10346</v>
      </c>
      <c r="M1901" s="14">
        <v>2393</v>
      </c>
      <c r="N1901" s="14">
        <v>297</v>
      </c>
      <c r="O1901" s="16"/>
      <c r="P1901" s="6">
        <v>40227.868229166663</v>
      </c>
      <c r="Q1901" s="12" t="s">
        <v>6205</v>
      </c>
      <c r="R1901" s="17" t="s">
        <v>6206</v>
      </c>
      <c r="S1901" s="13" t="s">
        <v>6207</v>
      </c>
      <c r="T1901" s="11"/>
      <c r="U1901" s="10" t="str">
        <f>HYPERLINK("https://pbs.twimg.com/profile_images/937793745386459136/rC7eLIli.jpg","View")</f>
        <v>View</v>
      </c>
    </row>
    <row r="1902" spans="1:21" ht="51">
      <c r="A1902" s="6">
        <v>43439.384363425925</v>
      </c>
      <c r="B1902" s="7" t="str">
        <f>HYPERLINK("https://twitter.com/rubenlodi","@rubenlodi")</f>
        <v>@rubenlodi</v>
      </c>
      <c r="C1902" s="8" t="s">
        <v>6208</v>
      </c>
      <c r="D1902" s="9" t="s">
        <v>6209</v>
      </c>
      <c r="E1902" s="10" t="str">
        <f>HYPERLINK("https://twitter.com/rubenlodi/status/1070229658338295809","1070229658338295809")</f>
        <v>1070229658338295809</v>
      </c>
      <c r="F1902" s="11"/>
      <c r="G1902" s="11"/>
      <c r="H1902" s="11"/>
      <c r="I1902" s="14">
        <v>0</v>
      </c>
      <c r="J1902" s="14">
        <v>0</v>
      </c>
      <c r="K1902" s="15" t="str">
        <f>HYPERLINK("http://twitter.com","Twitter Web Client")</f>
        <v>Twitter Web Client</v>
      </c>
      <c r="L1902" s="14">
        <v>17458</v>
      </c>
      <c r="M1902" s="14">
        <v>10402</v>
      </c>
      <c r="N1902" s="14">
        <v>277</v>
      </c>
      <c r="O1902" s="16"/>
      <c r="P1902" s="6">
        <v>40635.484189814815</v>
      </c>
      <c r="Q1902" s="12" t="s">
        <v>6210</v>
      </c>
      <c r="R1902" s="17" t="s">
        <v>6211</v>
      </c>
      <c r="S1902" s="11"/>
      <c r="T1902" s="11"/>
      <c r="U1902" s="10" t="str">
        <f>HYPERLINK("https://pbs.twimg.com/profile_images/775597824515923968/xtS65Wap.jpg","View")</f>
        <v>View</v>
      </c>
    </row>
    <row r="1903" spans="1:21" ht="71.400000000000006">
      <c r="A1903" s="6">
        <v>43439.381712962961</v>
      </c>
      <c r="B1903" s="7" t="str">
        <f>HYPERLINK("https://twitter.com/jonariz","@jonariz")</f>
        <v>@jonariz</v>
      </c>
      <c r="C1903" s="8" t="s">
        <v>6212</v>
      </c>
      <c r="D1903" s="9" t="s">
        <v>6213</v>
      </c>
      <c r="E1903" s="10" t="str">
        <f>HYPERLINK("https://twitter.com/jonariz/status/1070228699365150720","1070228699365150720")</f>
        <v>1070228699365150720</v>
      </c>
      <c r="F1903" s="13" t="s">
        <v>6214</v>
      </c>
      <c r="G1903" s="11"/>
      <c r="H1903" s="11"/>
      <c r="I1903" s="14">
        <v>1</v>
      </c>
      <c r="J1903" s="14">
        <v>20</v>
      </c>
      <c r="K1903" s="15" t="str">
        <f>HYPERLINK("http://twitter.com/download/iphone","Twitter for iPhone")</f>
        <v>Twitter for iPhone</v>
      </c>
      <c r="L1903" s="14">
        <v>4106</v>
      </c>
      <c r="M1903" s="14">
        <v>1524</v>
      </c>
      <c r="N1903" s="14">
        <v>144</v>
      </c>
      <c r="O1903" s="19" t="s">
        <v>42</v>
      </c>
      <c r="P1903" s="6">
        <v>40206.537199074075</v>
      </c>
      <c r="Q1903" s="12" t="s">
        <v>60</v>
      </c>
      <c r="R1903" s="17" t="s">
        <v>6215</v>
      </c>
      <c r="S1903" s="13" t="s">
        <v>6216</v>
      </c>
      <c r="T1903" s="11"/>
      <c r="U1903" s="10" t="str">
        <f>HYPERLINK("https://pbs.twimg.com/profile_images/954440477453012994/Z5nrDam8.jpg","View")</f>
        <v>View</v>
      </c>
    </row>
    <row r="1904" spans="1:21" ht="51">
      <c r="A1904" s="6">
        <v>43439.378645833334</v>
      </c>
      <c r="B1904" s="7" t="str">
        <f>HYPERLINK("https://twitter.com/msagra55","@msagra55")</f>
        <v>@msagra55</v>
      </c>
      <c r="C1904" s="8" t="s">
        <v>6217</v>
      </c>
      <c r="D1904" s="9" t="s">
        <v>6218</v>
      </c>
      <c r="E1904" s="10" t="str">
        <f>HYPERLINK("https://twitter.com/msagra55/status/1070227587882991616","1070227587882991616")</f>
        <v>1070227587882991616</v>
      </c>
      <c r="F1904" s="13" t="s">
        <v>6219</v>
      </c>
      <c r="G1904" s="11"/>
      <c r="H1904" s="11"/>
      <c r="I1904" s="14">
        <v>0</v>
      </c>
      <c r="J1904" s="14">
        <v>1</v>
      </c>
      <c r="K1904" s="15" t="str">
        <f>HYPERLINK("http://twitter.com/download/android","Twitter for Android")</f>
        <v>Twitter for Android</v>
      </c>
      <c r="L1904" s="14">
        <v>381</v>
      </c>
      <c r="M1904" s="14">
        <v>556</v>
      </c>
      <c r="N1904" s="14">
        <v>4</v>
      </c>
      <c r="O1904" s="16"/>
      <c r="P1904" s="6">
        <v>41731.913321759261</v>
      </c>
      <c r="Q1904" s="11"/>
      <c r="R1904" s="17" t="s">
        <v>6222</v>
      </c>
      <c r="S1904" s="11"/>
      <c r="T1904" s="11"/>
      <c r="U1904" s="10" t="str">
        <f>HYPERLINK("https://pbs.twimg.com/profile_images/971863302006607872/0IvM9BF2.jpg","View")</f>
        <v>View</v>
      </c>
    </row>
    <row r="1905" spans="1:21" ht="40.799999999999997">
      <c r="A1905" s="6">
        <v>43439.377939814818</v>
      </c>
      <c r="B1905" s="7" t="str">
        <f>HYPERLINK("https://twitter.com/CarmenPr81","@CarmenPr81")</f>
        <v>@CarmenPr81</v>
      </c>
      <c r="C1905" s="8" t="s">
        <v>7589</v>
      </c>
      <c r="D1905" s="9" t="s">
        <v>7590</v>
      </c>
      <c r="E1905" s="10" t="str">
        <f>HYPERLINK("https://twitter.com/CarmenPr81/status/1070227333976596480","1070227333976596480")</f>
        <v>1070227333976596480</v>
      </c>
      <c r="F1905" s="11"/>
      <c r="G1905" s="11"/>
      <c r="H1905" s="11"/>
      <c r="I1905" s="14">
        <v>0</v>
      </c>
      <c r="J1905" s="14">
        <v>0</v>
      </c>
      <c r="K1905" s="15" t="str">
        <f>HYPERLINK("https://ifttt.com","IFTTT")</f>
        <v>IFTTT</v>
      </c>
      <c r="L1905" s="14">
        <v>4085</v>
      </c>
      <c r="M1905" s="14">
        <v>3638</v>
      </c>
      <c r="N1905" s="14">
        <v>352</v>
      </c>
      <c r="O1905" s="16"/>
      <c r="P1905" s="6">
        <v>41002.797662037039</v>
      </c>
      <c r="Q1905" s="12" t="s">
        <v>7591</v>
      </c>
      <c r="R1905" s="17" t="s">
        <v>7592</v>
      </c>
      <c r="S1905" s="13" t="s">
        <v>7593</v>
      </c>
      <c r="T1905" s="11"/>
      <c r="U1905" s="10" t="str">
        <f>HYPERLINK("https://pbs.twimg.com/profile_images/1060626153633914880/0X_cQnho.jpg","View")</f>
        <v>View</v>
      </c>
    </row>
    <row r="1906" spans="1:21" ht="71.400000000000006">
      <c r="A1906" s="6">
        <v>43439.376192129625</v>
      </c>
      <c r="B1906" s="7" t="str">
        <f>HYPERLINK("https://twitter.com/GilTonic74","@GilTonic74")</f>
        <v>@GilTonic74</v>
      </c>
      <c r="C1906" s="8" t="s">
        <v>6226</v>
      </c>
      <c r="D1906" s="9" t="s">
        <v>6227</v>
      </c>
      <c r="E1906" s="10" t="str">
        <f>HYPERLINK("https://twitter.com/GilTonic74/status/1070226698505879552","1070226698505879552")</f>
        <v>1070226698505879552</v>
      </c>
      <c r="F1906" s="13" t="s">
        <v>6228</v>
      </c>
      <c r="G1906" s="13" t="s">
        <v>6229</v>
      </c>
      <c r="H1906" s="11"/>
      <c r="I1906" s="14">
        <v>0</v>
      </c>
      <c r="J1906" s="14">
        <v>1</v>
      </c>
      <c r="K1906" s="15" t="str">
        <f>HYPERLINK("http://twitter.com/download/iphone","Twitter for iPhone")</f>
        <v>Twitter for iPhone</v>
      </c>
      <c r="L1906" s="14">
        <v>68</v>
      </c>
      <c r="M1906" s="14">
        <v>191</v>
      </c>
      <c r="N1906" s="14">
        <v>0</v>
      </c>
      <c r="O1906" s="16"/>
      <c r="P1906" s="6">
        <v>42058.944918981477</v>
      </c>
      <c r="Q1906" s="12" t="s">
        <v>6232</v>
      </c>
      <c r="R1906" s="17" t="s">
        <v>6233</v>
      </c>
      <c r="S1906" s="11"/>
      <c r="T1906" s="11"/>
      <c r="U1906" s="10" t="str">
        <f>HYPERLINK("https://pbs.twimg.com/profile_images/961604951616229376/rsbrWyOc.jpg","View")</f>
        <v>View</v>
      </c>
    </row>
    <row r="1907" spans="1:21" ht="40.799999999999997">
      <c r="A1907" s="6">
        <v>43439.376192129625</v>
      </c>
      <c r="B1907" s="7" t="str">
        <f>HYPERLINK("https://twitter.com/NoticiarioES","@NoticiarioES")</f>
        <v>@NoticiarioES</v>
      </c>
      <c r="C1907" s="8" t="s">
        <v>5836</v>
      </c>
      <c r="D1907" s="9" t="s">
        <v>7599</v>
      </c>
      <c r="E1907" s="10" t="str">
        <f>HYPERLINK("https://twitter.com/NoticiarioES/status/1070226696832471040","1070226696832471040")</f>
        <v>1070226696832471040</v>
      </c>
      <c r="F1907" s="12" t="s">
        <v>6310</v>
      </c>
      <c r="G1907" s="13" t="s">
        <v>6311</v>
      </c>
      <c r="H1907" s="11"/>
      <c r="I1907" s="14">
        <v>0</v>
      </c>
      <c r="J1907" s="14">
        <v>0</v>
      </c>
      <c r="K1907" s="15" t="str">
        <f t="shared" ref="K1907:K1908" si="373">HYPERLINK("https://ifttt.com","IFTTT")</f>
        <v>IFTTT</v>
      </c>
      <c r="L1907" s="14">
        <v>203</v>
      </c>
      <c r="M1907" s="14">
        <v>6</v>
      </c>
      <c r="N1907" s="14">
        <v>7</v>
      </c>
      <c r="O1907" s="16"/>
      <c r="P1907" s="6">
        <v>39678.946342592593</v>
      </c>
      <c r="Q1907" s="12" t="s">
        <v>5839</v>
      </c>
      <c r="R1907" s="17" t="s">
        <v>5840</v>
      </c>
      <c r="S1907" s="13" t="s">
        <v>5842</v>
      </c>
      <c r="T1907" s="11"/>
      <c r="U1907" s="10" t="str">
        <f>HYPERLINK("https://pbs.twimg.com/profile_images/994642847935664130/qdn8TSqA.jpg","View")</f>
        <v>View</v>
      </c>
    </row>
    <row r="1908" spans="1:21" ht="20.399999999999999">
      <c r="A1908" s="6">
        <v>43439.376168981486</v>
      </c>
      <c r="B1908" s="7" t="str">
        <f>HYPERLINK("https://twitter.com/JulioGanguita","@JulioGanguita")</f>
        <v>@JulioGanguita</v>
      </c>
      <c r="C1908" s="8" t="s">
        <v>7603</v>
      </c>
      <c r="D1908" s="9" t="s">
        <v>7604</v>
      </c>
      <c r="E1908" s="10" t="str">
        <f>HYPERLINK("https://twitter.com/JulioGanguita/status/1070226692491395072","1070226692491395072")</f>
        <v>1070226692491395072</v>
      </c>
      <c r="F1908" s="13" t="s">
        <v>7605</v>
      </c>
      <c r="G1908" s="11"/>
      <c r="H1908" s="11"/>
      <c r="I1908" s="14">
        <v>0</v>
      </c>
      <c r="J1908" s="14">
        <v>0</v>
      </c>
      <c r="K1908" s="15" t="str">
        <f t="shared" si="373"/>
        <v>IFTTT</v>
      </c>
      <c r="L1908" s="14">
        <v>957</v>
      </c>
      <c r="M1908" s="14">
        <v>1603</v>
      </c>
      <c r="N1908" s="14">
        <v>3</v>
      </c>
      <c r="O1908" s="16"/>
      <c r="P1908" s="6">
        <v>41982.543564814812</v>
      </c>
      <c r="Q1908" s="12" t="s">
        <v>7606</v>
      </c>
      <c r="R1908" s="17" t="s">
        <v>7607</v>
      </c>
      <c r="S1908" s="11"/>
      <c r="T1908" s="11"/>
      <c r="U1908" s="10" t="str">
        <f>HYPERLINK("https://pbs.twimg.com/profile_images/859057418386497536/1I406mDG.jpg","View")</f>
        <v>View</v>
      </c>
    </row>
    <row r="1909" spans="1:21" ht="30.6">
      <c r="A1909" s="6">
        <v>43439.375393518523</v>
      </c>
      <c r="B1909" s="7" t="str">
        <f>HYPERLINK("https://twitter.com/PSOEAlmeria","@PSOEAlmeria")</f>
        <v>@PSOEAlmeria</v>
      </c>
      <c r="C1909" s="8" t="s">
        <v>6235</v>
      </c>
      <c r="D1909" s="9" t="s">
        <v>6236</v>
      </c>
      <c r="E1909" s="10" t="str">
        <f>HYPERLINK("https://twitter.com/PSOEAlmeria/status/1070226411334569984","1070226411334569984")</f>
        <v>1070226411334569984</v>
      </c>
      <c r="F1909" s="11"/>
      <c r="G1909" s="12" t="s">
        <v>6237</v>
      </c>
      <c r="H1909" s="11"/>
      <c r="I1909" s="14">
        <v>5</v>
      </c>
      <c r="J1909" s="14">
        <v>4</v>
      </c>
      <c r="K1909" s="15" t="str">
        <f t="shared" ref="K1909:K1911" si="374">HYPERLINK("http://twitter.com/download/android","Twitter for Android")</f>
        <v>Twitter for Android</v>
      </c>
      <c r="L1909" s="14">
        <v>4287</v>
      </c>
      <c r="M1909" s="14">
        <v>2243</v>
      </c>
      <c r="N1909" s="14">
        <v>93</v>
      </c>
      <c r="O1909" s="16"/>
      <c r="P1909" s="6">
        <v>40109.488275462965</v>
      </c>
      <c r="Q1909" s="12" t="s">
        <v>2085</v>
      </c>
      <c r="R1909" s="17" t="s">
        <v>6239</v>
      </c>
      <c r="S1909" s="13" t="s">
        <v>6240</v>
      </c>
      <c r="T1909" s="11"/>
      <c r="U1909" s="10" t="str">
        <f>HYPERLINK("https://pbs.twimg.com/profile_images/799594169471795201/m2zMi5RC.jpg","View")</f>
        <v>View</v>
      </c>
    </row>
    <row r="1910" spans="1:21" ht="30.6">
      <c r="A1910" s="6">
        <v>43439.373229166667</v>
      </c>
      <c r="B1910" s="7" t="str">
        <f>HYPERLINK("https://twitter.com/JMolinaALM","@JMolinaALM")</f>
        <v>@JMolinaALM</v>
      </c>
      <c r="C1910" s="8" t="s">
        <v>6241</v>
      </c>
      <c r="D1910" s="9" t="s">
        <v>6236</v>
      </c>
      <c r="E1910" s="10" t="str">
        <f>HYPERLINK("https://twitter.com/JMolinaALM/status/1070225624017633281","1070225624017633281")</f>
        <v>1070225624017633281</v>
      </c>
      <c r="F1910" s="11"/>
      <c r="G1910" s="13" t="s">
        <v>6242</v>
      </c>
      <c r="H1910" s="11"/>
      <c r="I1910" s="14">
        <v>1</v>
      </c>
      <c r="J1910" s="14">
        <v>1</v>
      </c>
      <c r="K1910" s="15" t="str">
        <f t="shared" si="374"/>
        <v>Twitter for Android</v>
      </c>
      <c r="L1910" s="14">
        <v>3024</v>
      </c>
      <c r="M1910" s="14">
        <v>1972</v>
      </c>
      <c r="N1910" s="14">
        <v>50</v>
      </c>
      <c r="O1910" s="16"/>
      <c r="P1910" s="6">
        <v>40937.387326388889</v>
      </c>
      <c r="Q1910" s="12" t="s">
        <v>3904</v>
      </c>
      <c r="R1910" s="17" t="s">
        <v>6243</v>
      </c>
      <c r="S1910" s="11"/>
      <c r="T1910" s="11"/>
      <c r="U1910" s="10" t="str">
        <f>HYPERLINK("https://pbs.twimg.com/profile_images/969100474367475713/ssrJ92Hj.jpg","View")</f>
        <v>View</v>
      </c>
    </row>
    <row r="1911" spans="1:21" ht="51">
      <c r="A1911" s="6">
        <v>43439.373101851852</v>
      </c>
      <c r="B1911" s="7" t="str">
        <f>HYPERLINK("https://twitter.com/LolaypPelota","@LolaypPelota")</f>
        <v>@LolaypPelota</v>
      </c>
      <c r="C1911" s="8" t="s">
        <v>6246</v>
      </c>
      <c r="D1911" s="9" t="s">
        <v>6247</v>
      </c>
      <c r="E1911" s="10" t="str">
        <f>HYPERLINK("https://twitter.com/LolaypPelota/status/1070225579134328832","1070225579134328832")</f>
        <v>1070225579134328832</v>
      </c>
      <c r="F1911" s="13" t="s">
        <v>6248</v>
      </c>
      <c r="G1911" s="13" t="s">
        <v>6249</v>
      </c>
      <c r="H1911" s="11"/>
      <c r="I1911" s="14">
        <v>2</v>
      </c>
      <c r="J1911" s="14">
        <v>1</v>
      </c>
      <c r="K1911" s="15" t="str">
        <f t="shared" si="374"/>
        <v>Twitter for Android</v>
      </c>
      <c r="L1911" s="14">
        <v>624</v>
      </c>
      <c r="M1911" s="14">
        <v>603</v>
      </c>
      <c r="N1911" s="14">
        <v>7</v>
      </c>
      <c r="O1911" s="16"/>
      <c r="P1911" s="6">
        <v>41852.621030092589</v>
      </c>
      <c r="Q1911" s="11"/>
      <c r="R1911" s="17" t="s">
        <v>6250</v>
      </c>
      <c r="S1911" s="11"/>
      <c r="T1911" s="11"/>
      <c r="U1911" s="10" t="str">
        <f>HYPERLINK("https://pbs.twimg.com/profile_images/603604557642469376/e5wF7xCC.jpg","View")</f>
        <v>View</v>
      </c>
    </row>
    <row r="1912" spans="1:21" ht="40.799999999999997">
      <c r="A1912" s="6">
        <v>43439.372152777782</v>
      </c>
      <c r="B1912" s="7" t="str">
        <f>HYPERLINK("https://twitter.com/Canal_Z_","@Canal_Z_")</f>
        <v>@Canal_Z_</v>
      </c>
      <c r="C1912" s="8" t="s">
        <v>6164</v>
      </c>
      <c r="D1912" s="9" t="s">
        <v>3441</v>
      </c>
      <c r="E1912" s="10" t="str">
        <f>HYPERLINK("https://twitter.com/Canal_Z_/status/1070225233259438080","1070225233259438080")</f>
        <v>1070225233259438080</v>
      </c>
      <c r="F1912" s="13" t="s">
        <v>3809</v>
      </c>
      <c r="G1912" s="13" t="s">
        <v>7618</v>
      </c>
      <c r="H1912" s="11"/>
      <c r="I1912" s="14">
        <v>0</v>
      </c>
      <c r="J1912" s="14">
        <v>0</v>
      </c>
      <c r="K1912" s="15" t="str">
        <f>HYPERLINK("http://twitter.com","Twitter Web Client")</f>
        <v>Twitter Web Client</v>
      </c>
      <c r="L1912" s="14">
        <v>2622</v>
      </c>
      <c r="M1912" s="14">
        <v>4992</v>
      </c>
      <c r="N1912" s="14">
        <v>10</v>
      </c>
      <c r="O1912" s="16"/>
      <c r="P1912" s="6">
        <v>41462.275254629625</v>
      </c>
      <c r="Q1912" s="12" t="s">
        <v>137</v>
      </c>
      <c r="R1912" s="17" t="s">
        <v>6170</v>
      </c>
      <c r="S1912" s="11"/>
      <c r="T1912" s="11"/>
      <c r="U1912" s="10" t="str">
        <f>HYPERLINK("https://pbs.twimg.com/profile_images/1008407123242422272/aENpWjy6.jpg","View")</f>
        <v>View</v>
      </c>
    </row>
    <row r="1913" spans="1:21" ht="30.6">
      <c r="A1913" s="6">
        <v>43439.371967592597</v>
      </c>
      <c r="B1913" s="7" t="str">
        <f>HYPERLINK("https://twitter.com/valesia2","@valesia2")</f>
        <v>@valesia2</v>
      </c>
      <c r="C1913" s="8" t="s">
        <v>7623</v>
      </c>
      <c r="D1913" s="9" t="s">
        <v>2347</v>
      </c>
      <c r="E1913" s="10" t="str">
        <f>HYPERLINK("https://twitter.com/valesia2/status/1070225169694814213","1070225169694814213")</f>
        <v>1070225169694814213</v>
      </c>
      <c r="F1913" s="13" t="s">
        <v>2349</v>
      </c>
      <c r="G1913" s="11"/>
      <c r="H1913" s="11"/>
      <c r="I1913" s="14">
        <v>0</v>
      </c>
      <c r="J1913" s="14">
        <v>0</v>
      </c>
      <c r="K1913" s="15" t="str">
        <f>HYPERLINK("http://twitter.com/download/android","Twitter for Android")</f>
        <v>Twitter for Android</v>
      </c>
      <c r="L1913" s="14">
        <v>1591</v>
      </c>
      <c r="M1913" s="14">
        <v>1515</v>
      </c>
      <c r="N1913" s="14">
        <v>5</v>
      </c>
      <c r="O1913" s="16"/>
      <c r="P1913" s="6">
        <v>40495.845358796294</v>
      </c>
      <c r="Q1913" s="11"/>
      <c r="R1913" s="17" t="s">
        <v>7625</v>
      </c>
      <c r="S1913" s="11"/>
      <c r="T1913" s="11"/>
      <c r="U1913" s="10" t="str">
        <f>HYPERLINK("https://pbs.twimg.com/profile_images/959426220663496704/2x1GnkHD.jpg","View")</f>
        <v>View</v>
      </c>
    </row>
    <row r="1914" spans="1:21" ht="40.799999999999997">
      <c r="A1914" s="6">
        <v>43439.371597222227</v>
      </c>
      <c r="B1914" s="7" t="str">
        <f>HYPERLINK("https://twitter.com/eslamananadeFJL","@eslamananadeFJL")</f>
        <v>@eslamananadeFJL</v>
      </c>
      <c r="C1914" s="8" t="s">
        <v>6251</v>
      </c>
      <c r="D1914" s="9" t="s">
        <v>6252</v>
      </c>
      <c r="E1914" s="10" t="str">
        <f>HYPERLINK("https://twitter.com/eslamananadeFJL/status/1070225032293560320","1070225032293560320")</f>
        <v>1070225032293560320</v>
      </c>
      <c r="F1914" s="11"/>
      <c r="G1914" s="11"/>
      <c r="H1914" s="11"/>
      <c r="I1914" s="14">
        <v>13</v>
      </c>
      <c r="J1914" s="14">
        <v>30</v>
      </c>
      <c r="K1914" s="15" t="str">
        <f>HYPERLINK("http://twitter.com","Twitter Web Client")</f>
        <v>Twitter Web Client</v>
      </c>
      <c r="L1914" s="14">
        <v>69631</v>
      </c>
      <c r="M1914" s="14">
        <v>1575</v>
      </c>
      <c r="N1914" s="14">
        <v>658</v>
      </c>
      <c r="O1914" s="19" t="s">
        <v>42</v>
      </c>
      <c r="P1914" s="6">
        <v>40926.331504629634</v>
      </c>
      <c r="Q1914" s="12" t="s">
        <v>6253</v>
      </c>
      <c r="R1914" s="17" t="s">
        <v>6254</v>
      </c>
      <c r="S1914" s="13" t="s">
        <v>6255</v>
      </c>
      <c r="T1914" s="11"/>
      <c r="U1914" s="10" t="str">
        <f>HYPERLINK("https://pbs.twimg.com/profile_images/2149735983/fede1.jpg","View")</f>
        <v>View</v>
      </c>
    </row>
    <row r="1915" spans="1:21" ht="51">
      <c r="A1915" s="6">
        <v>43439.371423611112</v>
      </c>
      <c r="B1915" s="7" t="str">
        <f>HYPERLINK("https://twitter.com/Samburitz","@Samburitz")</f>
        <v>@Samburitz</v>
      </c>
      <c r="C1915" s="8" t="s">
        <v>6258</v>
      </c>
      <c r="D1915" s="9" t="s">
        <v>6259</v>
      </c>
      <c r="E1915" s="10" t="str">
        <f>HYPERLINK("https://twitter.com/Samburitz/status/1070224972004712448","1070224972004712448")</f>
        <v>1070224972004712448</v>
      </c>
      <c r="F1915" s="13" t="s">
        <v>6261</v>
      </c>
      <c r="G1915" s="11"/>
      <c r="H1915" s="11"/>
      <c r="I1915" s="14">
        <v>0</v>
      </c>
      <c r="J1915" s="14">
        <v>0</v>
      </c>
      <c r="K1915" s="15" t="str">
        <f t="shared" ref="K1915:K1916" si="375">HYPERLINK("http://twitter.com/download/android","Twitter for Android")</f>
        <v>Twitter for Android</v>
      </c>
      <c r="L1915" s="14">
        <v>253</v>
      </c>
      <c r="M1915" s="14">
        <v>509</v>
      </c>
      <c r="N1915" s="14">
        <v>36</v>
      </c>
      <c r="O1915" s="16"/>
      <c r="P1915" s="6">
        <v>40196.533993055556</v>
      </c>
      <c r="Q1915" s="11"/>
      <c r="R1915" s="17" t="s">
        <v>6262</v>
      </c>
      <c r="S1915" s="11"/>
      <c r="T1915" s="11"/>
      <c r="U1915" s="10" t="str">
        <f>HYPERLINK("https://pbs.twimg.com/profile_images/1054622120091762689/UQsQ-NkP.jpg","View")</f>
        <v>View</v>
      </c>
    </row>
    <row r="1916" spans="1:21" ht="30.6">
      <c r="A1916" s="6">
        <v>43439.371354166666</v>
      </c>
      <c r="B1916" s="7" t="str">
        <f>HYPERLINK("https://twitter.com/JC_C_A","@JC_C_A")</f>
        <v>@JC_C_A</v>
      </c>
      <c r="C1916" s="8" t="s">
        <v>1651</v>
      </c>
      <c r="D1916" s="9" t="s">
        <v>7632</v>
      </c>
      <c r="E1916" s="10" t="str">
        <f>HYPERLINK("https://twitter.com/JC_C_A/status/1070224947300179970","1070224947300179970")</f>
        <v>1070224947300179970</v>
      </c>
      <c r="F1916" s="11"/>
      <c r="G1916" s="11"/>
      <c r="H1916" s="11"/>
      <c r="I1916" s="14">
        <v>3</v>
      </c>
      <c r="J1916" s="14">
        <v>5</v>
      </c>
      <c r="K1916" s="15" t="str">
        <f t="shared" si="375"/>
        <v>Twitter for Android</v>
      </c>
      <c r="L1916" s="14">
        <v>1535</v>
      </c>
      <c r="M1916" s="14">
        <v>1285</v>
      </c>
      <c r="N1916" s="14">
        <v>4</v>
      </c>
      <c r="O1916" s="16"/>
      <c r="P1916" s="6">
        <v>43055.93885416667</v>
      </c>
      <c r="Q1916" s="12" t="s">
        <v>1655</v>
      </c>
      <c r="R1916" s="17" t="s">
        <v>1656</v>
      </c>
      <c r="S1916" s="11"/>
      <c r="T1916" s="11"/>
      <c r="U1916" s="10" t="str">
        <f>HYPERLINK("https://pbs.twimg.com/profile_images/1029775179520647169/gj_YgLkP.jpg","View")</f>
        <v>View</v>
      </c>
    </row>
    <row r="1917" spans="1:21" ht="51">
      <c r="A1917" s="6">
        <v>43439.369930555556</v>
      </c>
      <c r="B1917" s="7" t="str">
        <f>HYPERLINK("https://twitter.com/franio_","@franio_")</f>
        <v>@franio_</v>
      </c>
      <c r="C1917" s="8" t="s">
        <v>6263</v>
      </c>
      <c r="D1917" s="9" t="s">
        <v>6264</v>
      </c>
      <c r="E1917" s="10" t="str">
        <f>HYPERLINK("https://twitter.com/franio_/status/1070224430188716032","1070224430188716032")</f>
        <v>1070224430188716032</v>
      </c>
      <c r="F1917" s="11"/>
      <c r="G1917" s="11"/>
      <c r="H1917" s="11"/>
      <c r="I1917" s="14">
        <v>0</v>
      </c>
      <c r="J1917" s="14">
        <v>0</v>
      </c>
      <c r="K1917" s="15" t="str">
        <f t="shared" ref="K1917:K1918" si="376">HYPERLINK("http://twitter.com","Twitter Web Client")</f>
        <v>Twitter Web Client</v>
      </c>
      <c r="L1917" s="14">
        <v>1799</v>
      </c>
      <c r="M1917" s="14">
        <v>1415</v>
      </c>
      <c r="N1917" s="14">
        <v>30</v>
      </c>
      <c r="O1917" s="16"/>
      <c r="P1917" s="6">
        <v>40623.728368055556</v>
      </c>
      <c r="Q1917" s="12" t="s">
        <v>6265</v>
      </c>
      <c r="R1917" s="17" t="s">
        <v>6266</v>
      </c>
      <c r="S1917" s="13" t="s">
        <v>6267</v>
      </c>
      <c r="T1917" s="11"/>
      <c r="U1917" s="10" t="str">
        <f>HYPERLINK("https://pbs.twimg.com/profile_images/1027664084177760261/qJk8n1lv.jpg","View")</f>
        <v>View</v>
      </c>
    </row>
    <row r="1918" spans="1:21" ht="40.799999999999997">
      <c r="A1918" s="6">
        <v>43439.369351851856</v>
      </c>
      <c r="B1918" s="7" t="str">
        <f>HYPERLINK("https://twitter.com/EnriqueBoto","@EnriqueBoto")</f>
        <v>@EnriqueBoto</v>
      </c>
      <c r="C1918" s="8" t="s">
        <v>3819</v>
      </c>
      <c r="D1918" s="9" t="s">
        <v>6268</v>
      </c>
      <c r="E1918" s="10" t="str">
        <f>HYPERLINK("https://twitter.com/EnriqueBoto/status/1070224220523819008","1070224220523819008")</f>
        <v>1070224220523819008</v>
      </c>
      <c r="F1918" s="13" t="s">
        <v>6269</v>
      </c>
      <c r="G1918" s="11"/>
      <c r="H1918" s="11"/>
      <c r="I1918" s="14">
        <v>0</v>
      </c>
      <c r="J1918" s="14">
        <v>1</v>
      </c>
      <c r="K1918" s="15" t="str">
        <f t="shared" si="376"/>
        <v>Twitter Web Client</v>
      </c>
      <c r="L1918" s="14">
        <v>1420</v>
      </c>
      <c r="M1918" s="14">
        <v>962</v>
      </c>
      <c r="N1918" s="14">
        <v>14</v>
      </c>
      <c r="O1918" s="16"/>
      <c r="P1918" s="6">
        <v>41575.47896990741</v>
      </c>
      <c r="Q1918" s="12" t="s">
        <v>3823</v>
      </c>
      <c r="R1918" s="17" t="s">
        <v>3824</v>
      </c>
      <c r="S1918" s="11"/>
      <c r="T1918" s="11"/>
      <c r="U1918" s="10" t="str">
        <f>HYPERLINK("https://pbs.twimg.com/profile_images/432673214150356992/k4dht69u.png","View")</f>
        <v>View</v>
      </c>
    </row>
    <row r="1919" spans="1:21" ht="61.2">
      <c r="A1919" s="6">
        <v>43439.368854166663</v>
      </c>
      <c r="B1919" s="7" t="str">
        <f>HYPERLINK("https://twitter.com/CaroBHR","@CaroBHR")</f>
        <v>@CaroBHR</v>
      </c>
      <c r="C1919" s="8" t="s">
        <v>6274</v>
      </c>
      <c r="D1919" s="9" t="s">
        <v>6275</v>
      </c>
      <c r="E1919" s="10" t="str">
        <f>HYPERLINK("https://twitter.com/CaroBHR/status/1070224040281952256","1070224040281952256")</f>
        <v>1070224040281952256</v>
      </c>
      <c r="F1919" s="13" t="s">
        <v>6276</v>
      </c>
      <c r="G1919" s="13" t="s">
        <v>6277</v>
      </c>
      <c r="H1919" s="11"/>
      <c r="I1919" s="14">
        <v>0</v>
      </c>
      <c r="J1919" s="14">
        <v>0</v>
      </c>
      <c r="K1919" s="15" t="str">
        <f>HYPERLINK("http://twitter.com/#!/download/ipad","Twitter for iPad")</f>
        <v>Twitter for iPad</v>
      </c>
      <c r="L1919" s="14">
        <v>102</v>
      </c>
      <c r="M1919" s="14">
        <v>177</v>
      </c>
      <c r="N1919" s="14">
        <v>4</v>
      </c>
      <c r="O1919" s="16"/>
      <c r="P1919" s="6">
        <v>40366.693298611113</v>
      </c>
      <c r="Q1919" s="12" t="s">
        <v>137</v>
      </c>
      <c r="R1919" s="17" t="s">
        <v>6278</v>
      </c>
      <c r="S1919" s="11"/>
      <c r="T1919" s="11"/>
      <c r="U1919" s="10" t="str">
        <f>HYPERLINK("https://pbs.twimg.com/profile_images/928296402970710016/5BrkXCHT.jpg","View")</f>
        <v>View</v>
      </c>
    </row>
    <row r="1920" spans="1:21" ht="13.2">
      <c r="A1920" s="6">
        <v>43439.366284722222</v>
      </c>
      <c r="B1920" s="7" t="str">
        <f>HYPERLINK("https://twitter.com/L20mOtros","@L20mOtros")</f>
        <v>@L20mOtros</v>
      </c>
      <c r="C1920" s="8" t="s">
        <v>6542</v>
      </c>
      <c r="D1920" s="9" t="s">
        <v>3441</v>
      </c>
      <c r="E1920" s="10" t="str">
        <f>HYPERLINK("https://twitter.com/L20mOtros/status/1070223107032526848","1070223107032526848")</f>
        <v>1070223107032526848</v>
      </c>
      <c r="F1920" s="13" t="s">
        <v>7641</v>
      </c>
      <c r="G1920" s="13" t="s">
        <v>7642</v>
      </c>
      <c r="H1920" s="11"/>
      <c r="I1920" s="14">
        <v>0</v>
      </c>
      <c r="J1920" s="14">
        <v>0</v>
      </c>
      <c r="K1920" s="15" t="str">
        <f>HYPERLINK("http://dogtrack.es","DogTrack_Oficial")</f>
        <v>DogTrack_Oficial</v>
      </c>
      <c r="L1920" s="14">
        <v>23</v>
      </c>
      <c r="M1920" s="14">
        <v>8</v>
      </c>
      <c r="N1920" s="14">
        <v>0</v>
      </c>
      <c r="O1920" s="16"/>
      <c r="P1920" s="6">
        <v>41285.602418981478</v>
      </c>
      <c r="Q1920" s="11"/>
      <c r="R1920" s="18"/>
      <c r="S1920" s="13" t="s">
        <v>6546</v>
      </c>
      <c r="T1920" s="11"/>
      <c r="U1920" s="10" t="str">
        <f>HYPERLINK("https://pbs.twimg.com/profile_images/3148562799/6854a445e373c5053b43f5c11d764b41.jpeg","View")</f>
        <v>View</v>
      </c>
    </row>
    <row r="1921" spans="1:21" ht="30.6">
      <c r="A1921" s="6">
        <v>43439.363541666666</v>
      </c>
      <c r="B1921" s="7" t="str">
        <f>HYPERLINK("https://twitter.com/19dmcj67","@19dmcj67")</f>
        <v>@19dmcj67</v>
      </c>
      <c r="C1921" s="8" t="s">
        <v>6279</v>
      </c>
      <c r="D1921" s="9" t="s">
        <v>6280</v>
      </c>
      <c r="E1921" s="10" t="str">
        <f>HYPERLINK("https://twitter.com/19dmcj67/status/1070222113938784256","1070222113938784256")</f>
        <v>1070222113938784256</v>
      </c>
      <c r="F1921" s="11"/>
      <c r="G1921" s="11"/>
      <c r="H1921" s="11"/>
      <c r="I1921" s="14">
        <v>0</v>
      </c>
      <c r="J1921" s="14">
        <v>2</v>
      </c>
      <c r="K1921" s="15" t="str">
        <f>HYPERLINK("http://twitter.com/download/android","Twitter for Android")</f>
        <v>Twitter for Android</v>
      </c>
      <c r="L1921" s="14">
        <v>78</v>
      </c>
      <c r="M1921" s="14">
        <v>334</v>
      </c>
      <c r="N1921" s="14">
        <v>8</v>
      </c>
      <c r="O1921" s="16"/>
      <c r="P1921" s="6">
        <v>41874.795138888891</v>
      </c>
      <c r="Q1921" s="11"/>
      <c r="R1921" s="17" t="s">
        <v>6281</v>
      </c>
      <c r="S1921" s="11"/>
      <c r="T1921" s="11"/>
      <c r="U1921" s="10" t="str">
        <f>HYPERLINK("https://pbs.twimg.com/profile_images/1015523253027155968/P2JOg0CR.jpg","View")</f>
        <v>View</v>
      </c>
    </row>
    <row r="1922" spans="1:21" ht="51">
      <c r="A1922" s="6">
        <v>43439.363425925927</v>
      </c>
      <c r="B1922" s="7" t="str">
        <f>HYPERLINK("https://twitter.com/SEngendro","@SEngendro")</f>
        <v>@SEngendro</v>
      </c>
      <c r="C1922" s="8" t="s">
        <v>6282</v>
      </c>
      <c r="D1922" s="9" t="s">
        <v>6283</v>
      </c>
      <c r="E1922" s="10" t="str">
        <f>HYPERLINK("https://twitter.com/SEngendro/status/1070222070452285440","1070222070452285440")</f>
        <v>1070222070452285440</v>
      </c>
      <c r="F1922" s="13" t="s">
        <v>6284</v>
      </c>
      <c r="G1922" s="11"/>
      <c r="H1922" s="11"/>
      <c r="I1922" s="14">
        <v>0</v>
      </c>
      <c r="J1922" s="14">
        <v>1</v>
      </c>
      <c r="K1922" s="15" t="str">
        <f>HYPERLINK("http://twitter.com/download/iphone","Twitter for iPhone")</f>
        <v>Twitter for iPhone</v>
      </c>
      <c r="L1922" s="14">
        <v>348</v>
      </c>
      <c r="M1922" s="14">
        <v>5002</v>
      </c>
      <c r="N1922" s="14">
        <v>0</v>
      </c>
      <c r="O1922" s="16"/>
      <c r="P1922" s="6">
        <v>43346.911990740744</v>
      </c>
      <c r="Q1922" s="12" t="s">
        <v>137</v>
      </c>
      <c r="R1922" s="17" t="s">
        <v>6285</v>
      </c>
      <c r="S1922" s="11"/>
      <c r="T1922" s="11"/>
      <c r="U1922" s="10" t="str">
        <f>HYPERLINK("https://pbs.twimg.com/profile_images/1036707563763654657/6QWJB0Ew.jpg","View")</f>
        <v>View</v>
      </c>
    </row>
    <row r="1923" spans="1:21" ht="40.799999999999997">
      <c r="A1923" s="6">
        <v>43439.362986111111</v>
      </c>
      <c r="B1923" s="7" t="str">
        <f>HYPERLINK("https://twitter.com/martin4lo","@martin4lo")</f>
        <v>@martin4lo</v>
      </c>
      <c r="C1923" s="8" t="s">
        <v>6286</v>
      </c>
      <c r="D1923" s="9" t="s">
        <v>6287</v>
      </c>
      <c r="E1923" s="10" t="str">
        <f>HYPERLINK("https://twitter.com/martin4lo/status/1070221912649973761","1070221912649973761")</f>
        <v>1070221912649973761</v>
      </c>
      <c r="F1923" s="11"/>
      <c r="G1923" s="11"/>
      <c r="H1923" s="11"/>
      <c r="I1923" s="14">
        <v>2</v>
      </c>
      <c r="J1923" s="14">
        <v>1</v>
      </c>
      <c r="K1923" s="15" t="str">
        <f t="shared" ref="K1923:K1924" si="377">HYPERLINK("http://twitter.com/download/android","Twitter for Android")</f>
        <v>Twitter for Android</v>
      </c>
      <c r="L1923" s="14">
        <v>658</v>
      </c>
      <c r="M1923" s="14">
        <v>1723</v>
      </c>
      <c r="N1923" s="14">
        <v>0</v>
      </c>
      <c r="O1923" s="16"/>
      <c r="P1923" s="6">
        <v>42415.610810185186</v>
      </c>
      <c r="Q1923" s="12" t="s">
        <v>137</v>
      </c>
      <c r="R1923" s="17" t="s">
        <v>6289</v>
      </c>
      <c r="S1923" s="11"/>
      <c r="T1923" s="11"/>
      <c r="U1923" s="10" t="str">
        <f>HYPERLINK("https://pbs.twimg.com/profile_images/1041275879400325120/dlD_LtL-.jpg","View")</f>
        <v>View</v>
      </c>
    </row>
    <row r="1924" spans="1:21" ht="40.799999999999997">
      <c r="A1924" s="6">
        <v>43439.362268518518</v>
      </c>
      <c r="B1924" s="7" t="str">
        <f>HYPERLINK("https://twitter.com/CorderitoDeMary","@CorderitoDeMary")</f>
        <v>@CorderitoDeMary</v>
      </c>
      <c r="C1924" s="8" t="s">
        <v>562</v>
      </c>
      <c r="D1924" s="9" t="s">
        <v>6290</v>
      </c>
      <c r="E1924" s="10" t="str">
        <f>HYPERLINK("https://twitter.com/CorderitoDeMary/status/1070221652494032896","1070221652494032896")</f>
        <v>1070221652494032896</v>
      </c>
      <c r="F1924" s="11"/>
      <c r="G1924" s="11"/>
      <c r="H1924" s="11"/>
      <c r="I1924" s="14">
        <v>0</v>
      </c>
      <c r="J1924" s="14">
        <v>0</v>
      </c>
      <c r="K1924" s="15" t="str">
        <f t="shared" si="377"/>
        <v>Twitter for Android</v>
      </c>
      <c r="L1924" s="14">
        <v>92</v>
      </c>
      <c r="M1924" s="14">
        <v>268</v>
      </c>
      <c r="N1924" s="14">
        <v>1</v>
      </c>
      <c r="O1924" s="16"/>
      <c r="P1924" s="6">
        <v>43093.528425925921</v>
      </c>
      <c r="Q1924" s="11"/>
      <c r="R1924" s="17" t="s">
        <v>565</v>
      </c>
      <c r="S1924" s="11"/>
      <c r="T1924" s="11"/>
      <c r="U1924" s="10" t="str">
        <f>HYPERLINK("https://pbs.twimg.com/profile_images/944896839467364353/xaPpgEGL.jpg","View")</f>
        <v>View</v>
      </c>
    </row>
    <row r="1925" spans="1:21" ht="40.799999999999997">
      <c r="A1925" s="6">
        <v>43439.360659722224</v>
      </c>
      <c r="B1925" s="7" t="str">
        <f>HYPERLINK("https://twitter.com/marjalb","@marjalb")</f>
        <v>@marjalb</v>
      </c>
      <c r="C1925" s="8" t="s">
        <v>6293</v>
      </c>
      <c r="D1925" s="9" t="s">
        <v>6294</v>
      </c>
      <c r="E1925" s="10" t="str">
        <f>HYPERLINK("https://twitter.com/marjalb/status/1070221071864000512","1070221071864000512")</f>
        <v>1070221071864000512</v>
      </c>
      <c r="F1925" s="12" t="s">
        <v>6298</v>
      </c>
      <c r="G1925" s="13" t="s">
        <v>6299</v>
      </c>
      <c r="H1925" s="11"/>
      <c r="I1925" s="14">
        <v>0</v>
      </c>
      <c r="J1925" s="14">
        <v>0</v>
      </c>
      <c r="K1925" s="15" t="str">
        <f>HYPERLINK("http://twitter.com","Twitter Web Client")</f>
        <v>Twitter Web Client</v>
      </c>
      <c r="L1925" s="14">
        <v>192</v>
      </c>
      <c r="M1925" s="14">
        <v>396</v>
      </c>
      <c r="N1925" s="14">
        <v>1</v>
      </c>
      <c r="O1925" s="16"/>
      <c r="P1925" s="6">
        <v>40035.506307870368</v>
      </c>
      <c r="Q1925" s="12" t="s">
        <v>6302</v>
      </c>
      <c r="R1925" s="17" t="s">
        <v>6303</v>
      </c>
      <c r="S1925" s="13" t="s">
        <v>6304</v>
      </c>
      <c r="T1925" s="11"/>
      <c r="U1925" s="10" t="str">
        <f>HYPERLINK("https://pbs.twimg.com/profile_images/1046188140644507649/OTdhSGCA.jpg","View")</f>
        <v>View</v>
      </c>
    </row>
    <row r="1926" spans="1:21" ht="40.799999999999997">
      <c r="A1926" s="6">
        <v>43439.360636574071</v>
      </c>
      <c r="B1926" s="7" t="str">
        <f>HYPERLINK("https://twitter.com/CastigoBuena","@CastigoBuena")</f>
        <v>@CastigoBuena</v>
      </c>
      <c r="C1926" s="8" t="s">
        <v>415</v>
      </c>
      <c r="D1926" s="9" t="s">
        <v>6305</v>
      </c>
      <c r="E1926" s="10" t="str">
        <f>HYPERLINK("https://twitter.com/CastigoBuena/status/1070221063328579585","1070221063328579585")</f>
        <v>1070221063328579585</v>
      </c>
      <c r="F1926" s="11"/>
      <c r="G1926" s="11"/>
      <c r="H1926" s="11"/>
      <c r="I1926" s="14">
        <v>0</v>
      </c>
      <c r="J1926" s="14">
        <v>0</v>
      </c>
      <c r="K1926" s="15" t="str">
        <f>HYPERLINK("http://twitter.com/download/android","Twitter for Android")</f>
        <v>Twitter for Android</v>
      </c>
      <c r="L1926" s="14">
        <v>304</v>
      </c>
      <c r="M1926" s="14">
        <v>669</v>
      </c>
      <c r="N1926" s="14">
        <v>10</v>
      </c>
      <c r="O1926" s="16"/>
      <c r="P1926" s="6">
        <v>42601.736354166671</v>
      </c>
      <c r="Q1926" s="12" t="s">
        <v>422</v>
      </c>
      <c r="R1926" s="17" t="s">
        <v>423</v>
      </c>
      <c r="S1926" s="11"/>
      <c r="T1926" s="11"/>
      <c r="U1926" s="10" t="str">
        <f>HYPERLINK("https://pbs.twimg.com/profile_images/1030494895927189504/gnwHwGXu.jpg","View")</f>
        <v>View</v>
      </c>
    </row>
    <row r="1927" spans="1:21" ht="40.799999999999997">
      <c r="A1927" s="6">
        <v>43439.357685185183</v>
      </c>
      <c r="B1927" s="7" t="str">
        <f>HYPERLINK("https://twitter.com/lextresabogados","@lextresabogados")</f>
        <v>@lextresabogados</v>
      </c>
      <c r="C1927" s="8" t="s">
        <v>26</v>
      </c>
      <c r="D1927" s="9" t="s">
        <v>7658</v>
      </c>
      <c r="E1927" s="10" t="str">
        <f>HYPERLINK("https://twitter.com/lextresabogados/status/1070219993768517632","1070219993768517632")</f>
        <v>1070219993768517632</v>
      </c>
      <c r="F1927" s="12" t="s">
        <v>6310</v>
      </c>
      <c r="G1927" s="13" t="s">
        <v>7661</v>
      </c>
      <c r="H1927" s="11"/>
      <c r="I1927" s="14">
        <v>0</v>
      </c>
      <c r="J1927" s="14">
        <v>1</v>
      </c>
      <c r="K1927" s="15" t="str">
        <f>HYPERLINK("http://35.180.36.179","botize nueva")</f>
        <v>botize nueva</v>
      </c>
      <c r="L1927" s="14">
        <v>2912</v>
      </c>
      <c r="M1927" s="14">
        <v>3525</v>
      </c>
      <c r="N1927" s="14">
        <v>26</v>
      </c>
      <c r="O1927" s="16"/>
      <c r="P1927" s="6">
        <v>42880.770949074074</v>
      </c>
      <c r="Q1927" s="12" t="s">
        <v>35</v>
      </c>
      <c r="R1927" s="17" t="s">
        <v>36</v>
      </c>
      <c r="S1927" s="13" t="s">
        <v>37</v>
      </c>
      <c r="T1927" s="11"/>
      <c r="U1927" s="10" t="str">
        <f>HYPERLINK("https://pbs.twimg.com/profile_images/1068056978679898113/YnjKwiVy.jpg","View")</f>
        <v>View</v>
      </c>
    </row>
    <row r="1928" spans="1:21" ht="51">
      <c r="A1928" s="6">
        <v>43439.354166666672</v>
      </c>
      <c r="B1928" s="7" t="str">
        <f>HYPERLINK("https://twitter.com/20m","@20m")</f>
        <v>@20m</v>
      </c>
      <c r="C1928" s="21" t="s">
        <v>6308</v>
      </c>
      <c r="D1928" s="9" t="s">
        <v>6309</v>
      </c>
      <c r="E1928" s="10" t="str">
        <f>HYPERLINK("https://twitter.com/20m/status/1070218717987004417","1070218717987004417")</f>
        <v>1070218717987004417</v>
      </c>
      <c r="F1928" s="12" t="s">
        <v>6310</v>
      </c>
      <c r="G1928" s="13" t="s">
        <v>6311</v>
      </c>
      <c r="H1928" s="11"/>
      <c r="I1928" s="14">
        <v>12</v>
      </c>
      <c r="J1928" s="14">
        <v>14</v>
      </c>
      <c r="K1928" s="15" t="str">
        <f>HYPERLINK("http://dogtrack.es","DogTrack_Oficial")</f>
        <v>DogTrack_Oficial</v>
      </c>
      <c r="L1928" s="14">
        <v>1353522</v>
      </c>
      <c r="M1928" s="14">
        <v>51093</v>
      </c>
      <c r="N1928" s="14">
        <v>14083</v>
      </c>
      <c r="O1928" s="19" t="s">
        <v>42</v>
      </c>
      <c r="P1928" s="6">
        <v>39917.485891203702</v>
      </c>
      <c r="Q1928" s="12" t="s">
        <v>181</v>
      </c>
      <c r="R1928" s="17" t="s">
        <v>6314</v>
      </c>
      <c r="S1928" s="13" t="s">
        <v>6315</v>
      </c>
      <c r="T1928" s="11"/>
      <c r="U1928" s="10" t="str">
        <f>HYPERLINK("https://pbs.twimg.com/profile_images/1013670314285420544/gwCE6EJr.jpg","View")</f>
        <v>View</v>
      </c>
    </row>
    <row r="1929" spans="1:21" ht="51">
      <c r="A1929" s="6">
        <v>43439.350960648153</v>
      </c>
      <c r="B1929" s="7" t="str">
        <f>HYPERLINK("https://twitter.com/yRancio","@yRancio")</f>
        <v>@yRancio</v>
      </c>
      <c r="C1929" s="8" t="s">
        <v>6319</v>
      </c>
      <c r="D1929" s="9" t="s">
        <v>6320</v>
      </c>
      <c r="E1929" s="10" t="str">
        <f>HYPERLINK("https://twitter.com/yRancio/status/1070217554965262341","1070217554965262341")</f>
        <v>1070217554965262341</v>
      </c>
      <c r="F1929" s="11"/>
      <c r="G1929" s="13" t="s">
        <v>6322</v>
      </c>
      <c r="H1929" s="11"/>
      <c r="I1929" s="14">
        <v>0</v>
      </c>
      <c r="J1929" s="14">
        <v>1</v>
      </c>
      <c r="K1929" s="15" t="str">
        <f>HYPERLINK("http://twitter.com","Twitter Web Client")</f>
        <v>Twitter Web Client</v>
      </c>
      <c r="L1929" s="14">
        <v>97</v>
      </c>
      <c r="M1929" s="14">
        <v>108</v>
      </c>
      <c r="N1929" s="14">
        <v>5</v>
      </c>
      <c r="O1929" s="16"/>
      <c r="P1929" s="6">
        <v>41617.423668981479</v>
      </c>
      <c r="Q1929" s="11"/>
      <c r="R1929" s="17" t="s">
        <v>6323</v>
      </c>
      <c r="S1929" s="11"/>
      <c r="T1929" s="11"/>
      <c r="U1929" s="10" t="str">
        <f>HYPERLINK("https://pbs.twimg.com/profile_images/1070718258389680130/aD04R_5U.jpg","View")</f>
        <v>View</v>
      </c>
    </row>
    <row r="1930" spans="1:21" ht="102">
      <c r="A1930" s="6">
        <v>43439.343715277777</v>
      </c>
      <c r="B1930" s="7" t="str">
        <f>HYPERLINK("https://twitter.com/MSPE_CValencia","@MSPE_CValencia")</f>
        <v>@MSPE_CValencia</v>
      </c>
      <c r="C1930" s="8" t="s">
        <v>6324</v>
      </c>
      <c r="D1930" s="9" t="s">
        <v>6325</v>
      </c>
      <c r="E1930" s="10" t="str">
        <f>HYPERLINK("https://twitter.com/MSPE_CValencia/status/1070214928886312960","1070214928886312960")</f>
        <v>1070214928886312960</v>
      </c>
      <c r="F1930" s="13" t="s">
        <v>6326</v>
      </c>
      <c r="G1930" s="13" t="s">
        <v>6327</v>
      </c>
      <c r="H1930" s="11"/>
      <c r="I1930" s="14">
        <v>5</v>
      </c>
      <c r="J1930" s="14">
        <v>6</v>
      </c>
      <c r="K1930" s="15" t="str">
        <f>HYPERLINK("http://twitter.com/download/android","Twitter for Android")</f>
        <v>Twitter for Android</v>
      </c>
      <c r="L1930" s="14">
        <v>105</v>
      </c>
      <c r="M1930" s="14">
        <v>84</v>
      </c>
      <c r="N1930" s="14">
        <v>1</v>
      </c>
      <c r="O1930" s="16"/>
      <c r="P1930" s="6">
        <v>43286.634652777779</v>
      </c>
      <c r="Q1930" s="12" t="s">
        <v>602</v>
      </c>
      <c r="R1930" s="17" t="s">
        <v>6328</v>
      </c>
      <c r="S1930" s="13" t="s">
        <v>6329</v>
      </c>
      <c r="T1930" s="11"/>
      <c r="U1930" s="10" t="str">
        <f>HYPERLINK("https://pbs.twimg.com/profile_images/1037964847441477632/X3aiAaXi.jpg","View")</f>
        <v>View</v>
      </c>
    </row>
    <row r="1931" spans="1:21" ht="30.6">
      <c r="A1931" s="6">
        <v>43439.343090277776</v>
      </c>
      <c r="B1931" s="7" t="str">
        <f>HYPERLINK("https://twitter.com/candelerenas","@candelerenas")</f>
        <v>@candelerenas</v>
      </c>
      <c r="C1931" s="8" t="s">
        <v>6330</v>
      </c>
      <c r="D1931" s="9" t="s">
        <v>6331</v>
      </c>
      <c r="E1931" s="10" t="str">
        <f>HYPERLINK("https://twitter.com/candelerenas/status/1070214701999644672","1070214701999644672")</f>
        <v>1070214701999644672</v>
      </c>
      <c r="F1931" s="11"/>
      <c r="G1931" s="11"/>
      <c r="H1931" s="11"/>
      <c r="I1931" s="14">
        <v>3</v>
      </c>
      <c r="J1931" s="14">
        <v>1</v>
      </c>
      <c r="K1931" s="15" t="str">
        <f>HYPERLINK("http://twitter.com/download/iphone","Twitter for iPhone")</f>
        <v>Twitter for iPhone</v>
      </c>
      <c r="L1931" s="14">
        <v>90</v>
      </c>
      <c r="M1931" s="14">
        <v>569</v>
      </c>
      <c r="N1931" s="14">
        <v>1</v>
      </c>
      <c r="O1931" s="16"/>
      <c r="P1931" s="6">
        <v>41345.952002314814</v>
      </c>
      <c r="Q1931" s="11"/>
      <c r="R1931" s="17" t="s">
        <v>6332</v>
      </c>
      <c r="S1931" s="11"/>
      <c r="T1931" s="11"/>
      <c r="U1931" s="10" t="str">
        <f>HYPERLINK("https://pbs.twimg.com/profile_images/3397366910/681c83fff2177e535b16afd613be4a0f.jpeg","View")</f>
        <v>View</v>
      </c>
    </row>
    <row r="1932" spans="1:21" ht="51">
      <c r="A1932" s="6">
        <v>43439.342800925922</v>
      </c>
      <c r="B1932" s="7" t="str">
        <f>HYPERLINK("https://twitter.com/SiendoRealista3","@SiendoRealista3")</f>
        <v>@SiendoRealista3</v>
      </c>
      <c r="C1932" s="8" t="s">
        <v>6333</v>
      </c>
      <c r="D1932" s="9" t="s">
        <v>6334</v>
      </c>
      <c r="E1932" s="10" t="str">
        <f>HYPERLINK("https://twitter.com/SiendoRealista3/status/1070214598777802752","1070214598777802752")</f>
        <v>1070214598777802752</v>
      </c>
      <c r="F1932" s="11"/>
      <c r="G1932" s="11"/>
      <c r="H1932" s="11"/>
      <c r="I1932" s="14">
        <v>0</v>
      </c>
      <c r="J1932" s="14">
        <v>0</v>
      </c>
      <c r="K1932" s="15" t="str">
        <f>HYPERLINK("http://twitter.com/download/android","Twitter for Android")</f>
        <v>Twitter for Android</v>
      </c>
      <c r="L1932" s="14">
        <v>13</v>
      </c>
      <c r="M1932" s="14">
        <v>35</v>
      </c>
      <c r="N1932" s="14">
        <v>0</v>
      </c>
      <c r="O1932" s="16"/>
      <c r="P1932" s="6">
        <v>43415.720127314809</v>
      </c>
      <c r="Q1932" s="12" t="s">
        <v>137</v>
      </c>
      <c r="R1932" s="17" t="s">
        <v>6335</v>
      </c>
      <c r="S1932" s="11"/>
      <c r="T1932" s="11"/>
      <c r="U1932" s="10" t="str">
        <f>HYPERLINK("https://pbs.twimg.com/profile_images/1061655441590181890/woCJAsJF.jpg","View")</f>
        <v>View</v>
      </c>
    </row>
    <row r="1933" spans="1:21" ht="40.799999999999997">
      <c r="A1933" s="6">
        <v>43439.341273148151</v>
      </c>
      <c r="B1933" s="7" t="str">
        <f>HYPERLINK("https://twitter.com/buzzsarponera","@buzzsarponera")</f>
        <v>@buzzsarponera</v>
      </c>
      <c r="C1933" s="8" t="s">
        <v>7676</v>
      </c>
      <c r="D1933" s="9" t="s">
        <v>7677</v>
      </c>
      <c r="E1933" s="10" t="str">
        <f>HYPERLINK("https://twitter.com/buzzsarponera/status/1070214043393318913","1070214043393318913")</f>
        <v>1070214043393318913</v>
      </c>
      <c r="F1933" s="13" t="s">
        <v>4856</v>
      </c>
      <c r="G1933" s="11"/>
      <c r="H1933" s="11"/>
      <c r="I1933" s="14">
        <v>0</v>
      </c>
      <c r="J1933" s="14">
        <v>0</v>
      </c>
      <c r="K1933" s="15" t="str">
        <f>HYPERLINK("http://twitter.com","Twitter Web Client")</f>
        <v>Twitter Web Client</v>
      </c>
      <c r="L1933" s="14">
        <v>31</v>
      </c>
      <c r="M1933" s="14">
        <v>140</v>
      </c>
      <c r="N1933" s="14">
        <v>0</v>
      </c>
      <c r="O1933" s="16"/>
      <c r="P1933" s="6">
        <v>43373.014062499999</v>
      </c>
      <c r="Q1933" s="11"/>
      <c r="R1933" s="18"/>
      <c r="S1933" s="11"/>
      <c r="T1933" s="11"/>
      <c r="U1933" s="10" t="str">
        <f>HYPERLINK("https://pbs.twimg.com/profile_images/1065188565301297152/zvpQD1MK.jpg","View")</f>
        <v>View</v>
      </c>
    </row>
    <row r="1934" spans="1:21" ht="30.6">
      <c r="A1934" s="6">
        <v>43439.338391203702</v>
      </c>
      <c r="B1934" s="7" t="str">
        <f>HYPERLINK("https://twitter.com/orbangabea","@orbangabea")</f>
        <v>@orbangabea</v>
      </c>
      <c r="C1934" s="8" t="s">
        <v>6336</v>
      </c>
      <c r="D1934" s="9" t="s">
        <v>6337</v>
      </c>
      <c r="E1934" s="10" t="str">
        <f>HYPERLINK("https://twitter.com/orbangabea/status/1070212999456219138","1070212999456219138")</f>
        <v>1070212999456219138</v>
      </c>
      <c r="F1934" s="11"/>
      <c r="G1934" s="13" t="s">
        <v>6338</v>
      </c>
      <c r="H1934" s="11"/>
      <c r="I1934" s="14">
        <v>1</v>
      </c>
      <c r="J1934" s="14">
        <v>1</v>
      </c>
      <c r="K1934" s="15" t="str">
        <f>HYPERLINK("http://twitter.com/download/android","Twitter for Android")</f>
        <v>Twitter for Android</v>
      </c>
      <c r="L1934" s="14">
        <v>1403</v>
      </c>
      <c r="M1934" s="14">
        <v>1115</v>
      </c>
      <c r="N1934" s="14">
        <v>30</v>
      </c>
      <c r="O1934" s="16"/>
      <c r="P1934" s="6">
        <v>40829.601180555554</v>
      </c>
      <c r="Q1934" s="12" t="s">
        <v>6340</v>
      </c>
      <c r="R1934" s="17" t="s">
        <v>6341</v>
      </c>
      <c r="S1934" s="11"/>
      <c r="T1934" s="11"/>
      <c r="U1934" s="10" t="str">
        <f>HYPERLINK("https://pbs.twimg.com/profile_images/1065982174376140800/umWtQn3D.jpg","View")</f>
        <v>View</v>
      </c>
    </row>
    <row r="1935" spans="1:21" ht="40.799999999999997">
      <c r="A1935" s="6">
        <v>43439.337175925924</v>
      </c>
      <c r="B1935" s="7" t="str">
        <f>HYPERLINK("https://twitter.com/Miguelquinta","@Miguelquinta")</f>
        <v>@Miguelquinta</v>
      </c>
      <c r="C1935" s="8" t="s">
        <v>7685</v>
      </c>
      <c r="D1935" s="9" t="s">
        <v>4445</v>
      </c>
      <c r="E1935" s="10" t="str">
        <f>HYPERLINK("https://twitter.com/Miguelquinta/status/1070212558513205248","1070212558513205248")</f>
        <v>1070212558513205248</v>
      </c>
      <c r="F1935" s="13" t="s">
        <v>7686</v>
      </c>
      <c r="G1935" s="11"/>
      <c r="H1935" s="11"/>
      <c r="I1935" s="14">
        <v>0</v>
      </c>
      <c r="J1935" s="14">
        <v>0</v>
      </c>
      <c r="K1935" s="15" t="str">
        <f>HYPERLINK("http://www.facebook.com/twitter","Facebook")</f>
        <v>Facebook</v>
      </c>
      <c r="L1935" s="14">
        <v>301</v>
      </c>
      <c r="M1935" s="14">
        <v>558</v>
      </c>
      <c r="N1935" s="14">
        <v>3</v>
      </c>
      <c r="O1935" s="16"/>
      <c r="P1935" s="6">
        <v>40768.388657407406</v>
      </c>
      <c r="Q1935" s="12" t="s">
        <v>137</v>
      </c>
      <c r="R1935" s="17" t="s">
        <v>7688</v>
      </c>
      <c r="S1935" s="13" t="s">
        <v>7690</v>
      </c>
      <c r="T1935" s="11"/>
      <c r="U1935" s="10" t="str">
        <f>HYPERLINK("https://pbs.twimg.com/profile_images/886995760612552705/Jc4W3uLZ.jpg","View")</f>
        <v>View</v>
      </c>
    </row>
    <row r="1936" spans="1:21" ht="51">
      <c r="A1936" s="6">
        <v>43439.333807870367</v>
      </c>
      <c r="B1936" s="7" t="str">
        <f>HYPERLINK("https://twitter.com/JavierEdrosa","@JavierEdrosa")</f>
        <v>@JavierEdrosa</v>
      </c>
      <c r="C1936" s="8" t="s">
        <v>4368</v>
      </c>
      <c r="D1936" s="9" t="s">
        <v>6342</v>
      </c>
      <c r="E1936" s="10" t="str">
        <f>HYPERLINK("https://twitter.com/JavierEdrosa/status/1070211339552022529","1070211339552022529")</f>
        <v>1070211339552022529</v>
      </c>
      <c r="F1936" s="11"/>
      <c r="G1936" s="13" t="s">
        <v>6343</v>
      </c>
      <c r="H1936" s="11"/>
      <c r="I1936" s="14">
        <v>4</v>
      </c>
      <c r="J1936" s="14">
        <v>3</v>
      </c>
      <c r="K1936" s="15" t="str">
        <f>HYPERLINK("http://twitter.com/download/android","Twitter for Android")</f>
        <v>Twitter for Android</v>
      </c>
      <c r="L1936" s="14">
        <v>1481</v>
      </c>
      <c r="M1936" s="14">
        <v>797</v>
      </c>
      <c r="N1936" s="14">
        <v>32</v>
      </c>
      <c r="O1936" s="16"/>
      <c r="P1936" s="6">
        <v>40864.77820601852</v>
      </c>
      <c r="Q1936" s="12" t="s">
        <v>1785</v>
      </c>
      <c r="R1936" s="17" t="s">
        <v>4370</v>
      </c>
      <c r="S1936" s="11"/>
      <c r="T1936" s="11"/>
      <c r="U1936" s="10" t="str">
        <f>HYPERLINK("https://pbs.twimg.com/profile_images/1025671494360354816/Scu_r6kF.jpg","View")</f>
        <v>View</v>
      </c>
    </row>
    <row r="1937" spans="1:21" ht="51">
      <c r="A1937" s="6">
        <v>43439.329733796301</v>
      </c>
      <c r="B1937" s="7" t="str">
        <f>HYPERLINK("https://twitter.com/yominusa","@yominusa")</f>
        <v>@yominusa</v>
      </c>
      <c r="C1937" s="8" t="s">
        <v>6345</v>
      </c>
      <c r="D1937" s="9" t="s">
        <v>6346</v>
      </c>
      <c r="E1937" s="10" t="str">
        <f>HYPERLINK("https://twitter.com/yominusa/status/1070209864901771265","1070209864901771265")</f>
        <v>1070209864901771265</v>
      </c>
      <c r="F1937" s="13" t="s">
        <v>6347</v>
      </c>
      <c r="G1937" s="11"/>
      <c r="H1937" s="11"/>
      <c r="I1937" s="14">
        <v>0</v>
      </c>
      <c r="J1937" s="14">
        <v>0</v>
      </c>
      <c r="K1937" s="15" t="str">
        <f>HYPERLINK("http://twitter.com","Twitter Web Client")</f>
        <v>Twitter Web Client</v>
      </c>
      <c r="L1937" s="14">
        <v>398</v>
      </c>
      <c r="M1937" s="14">
        <v>1406</v>
      </c>
      <c r="N1937" s="14">
        <v>5</v>
      </c>
      <c r="O1937" s="16"/>
      <c r="P1937" s="6">
        <v>41479.762557870374</v>
      </c>
      <c r="Q1937" s="11"/>
      <c r="R1937" s="17" t="s">
        <v>6348</v>
      </c>
      <c r="S1937" s="11"/>
      <c r="T1937" s="11"/>
      <c r="U1937" s="10" t="str">
        <f>HYPERLINK("https://pbs.twimg.com/profile_images/863121544276566016/DF2qr0Rb.jpg","View")</f>
        <v>View</v>
      </c>
    </row>
    <row r="1938" spans="1:21" ht="40.799999999999997">
      <c r="A1938" s="6">
        <v>43439.329710648148</v>
      </c>
      <c r="B1938" s="7" t="str">
        <f>HYPERLINK("https://twitter.com/manera_carlos","@manera_carlos")</f>
        <v>@manera_carlos</v>
      </c>
      <c r="C1938" s="8" t="s">
        <v>7699</v>
      </c>
      <c r="D1938" s="9" t="s">
        <v>7700</v>
      </c>
      <c r="E1938" s="10" t="str">
        <f>HYPERLINK("https://twitter.com/manera_carlos/status/1070209853275168768","1070209853275168768")</f>
        <v>1070209853275168768</v>
      </c>
      <c r="F1938" s="11"/>
      <c r="G1938" s="11"/>
      <c r="H1938" s="11"/>
      <c r="I1938" s="14">
        <v>1</v>
      </c>
      <c r="J1938" s="14">
        <v>3</v>
      </c>
      <c r="K1938" s="15" t="str">
        <f t="shared" ref="K1938:K1939" si="378">HYPERLINK("http://twitter.com/download/iphone","Twitter for iPhone")</f>
        <v>Twitter for iPhone</v>
      </c>
      <c r="L1938" s="14">
        <v>653</v>
      </c>
      <c r="M1938" s="14">
        <v>1084</v>
      </c>
      <c r="N1938" s="14">
        <v>14</v>
      </c>
      <c r="O1938" s="16"/>
      <c r="P1938" s="6">
        <v>41701.710543981484</v>
      </c>
      <c r="Q1938" s="12" t="s">
        <v>1658</v>
      </c>
      <c r="R1938" s="17" t="s">
        <v>7703</v>
      </c>
      <c r="S1938" s="11"/>
      <c r="T1938" s="11"/>
      <c r="U1938" s="10" t="str">
        <f>HYPERLINK("https://pbs.twimg.com/profile_images/1053222267788894208/jhm5FCI7.jpg","View")</f>
        <v>View</v>
      </c>
    </row>
    <row r="1939" spans="1:21" ht="81.599999999999994">
      <c r="A1939" s="6">
        <v>43439.327256944445</v>
      </c>
      <c r="B1939" s="7" t="str">
        <f>HYPERLINK("https://twitter.com/aliquindoi","@aliquindoi")</f>
        <v>@aliquindoi</v>
      </c>
      <c r="C1939" s="8" t="s">
        <v>6351</v>
      </c>
      <c r="D1939" s="9" t="s">
        <v>6352</v>
      </c>
      <c r="E1939" s="10" t="str">
        <f>HYPERLINK("https://twitter.com/aliquindoi/status/1070208965114507264","1070208965114507264")</f>
        <v>1070208965114507264</v>
      </c>
      <c r="F1939" s="12" t="s">
        <v>6353</v>
      </c>
      <c r="G1939" s="11"/>
      <c r="H1939" s="11"/>
      <c r="I1939" s="14">
        <v>0</v>
      </c>
      <c r="J1939" s="14">
        <v>4</v>
      </c>
      <c r="K1939" s="15" t="str">
        <f t="shared" si="378"/>
        <v>Twitter for iPhone</v>
      </c>
      <c r="L1939" s="14">
        <v>3828</v>
      </c>
      <c r="M1939" s="14">
        <v>2701</v>
      </c>
      <c r="N1939" s="14">
        <v>127</v>
      </c>
      <c r="O1939" s="16"/>
      <c r="P1939" s="6">
        <v>39770.627743055556</v>
      </c>
      <c r="Q1939" s="12" t="s">
        <v>6354</v>
      </c>
      <c r="R1939" s="17" t="s">
        <v>6355</v>
      </c>
      <c r="S1939" s="11"/>
      <c r="T1939" s="11"/>
      <c r="U1939" s="10" t="str">
        <f>HYPERLINK("https://pbs.twimg.com/profile_images/982326113333628928/HlTlju3C.jpg","View")</f>
        <v>View</v>
      </c>
    </row>
    <row r="1940" spans="1:21" ht="20.399999999999999">
      <c r="A1940" s="6">
        <v>43439.327141203699</v>
      </c>
      <c r="B1940" s="7" t="str">
        <f>HYPERLINK("https://twitter.com/CristoFeliz1","@CristoFeliz1")</f>
        <v>@CristoFeliz1</v>
      </c>
      <c r="C1940" s="8" t="s">
        <v>5539</v>
      </c>
      <c r="D1940" s="9" t="s">
        <v>3441</v>
      </c>
      <c r="E1940" s="10" t="str">
        <f>HYPERLINK("https://twitter.com/CristoFeliz1/status/1070208925406978048","1070208925406978048")</f>
        <v>1070208925406978048</v>
      </c>
      <c r="F1940" s="13" t="s">
        <v>7708</v>
      </c>
      <c r="G1940" s="13" t="s">
        <v>7711</v>
      </c>
      <c r="H1940" s="11"/>
      <c r="I1940" s="14">
        <v>0</v>
      </c>
      <c r="J1940" s="14">
        <v>0</v>
      </c>
      <c r="K1940" s="15" t="str">
        <f>HYPERLINK("https://dlvrit.com/","dlvr.it")</f>
        <v>dlvr.it</v>
      </c>
      <c r="L1940" s="14">
        <v>7015</v>
      </c>
      <c r="M1940" s="14">
        <v>7733</v>
      </c>
      <c r="N1940" s="14">
        <v>561</v>
      </c>
      <c r="O1940" s="16"/>
      <c r="P1940" s="6">
        <v>41186.866469907407</v>
      </c>
      <c r="Q1940" s="12" t="s">
        <v>586</v>
      </c>
      <c r="R1940" s="17" t="s">
        <v>5542</v>
      </c>
      <c r="S1940" s="11"/>
      <c r="T1940" s="11"/>
      <c r="U1940" s="10" t="str">
        <f>HYPERLINK("https://pbs.twimg.com/profile_images/1002564938911703040/1Wvxy6Jm.jpg","View")</f>
        <v>View</v>
      </c>
    </row>
    <row r="1941" spans="1:21" ht="20.399999999999999">
      <c r="A1941" s="6">
        <v>43439.326539351852</v>
      </c>
      <c r="B1941" s="7" t="str">
        <f>HYPERLINK("https://twitter.com/VICENTE230356","@VICENTE230356")</f>
        <v>@VICENTE230356</v>
      </c>
      <c r="C1941" s="8" t="s">
        <v>7713</v>
      </c>
      <c r="D1941" s="9" t="s">
        <v>7714</v>
      </c>
      <c r="E1941" s="10" t="str">
        <f>HYPERLINK("https://twitter.com/VICENTE230356/status/1070208704102973440","1070208704102973440")</f>
        <v>1070208704102973440</v>
      </c>
      <c r="F1941" s="13" t="s">
        <v>3809</v>
      </c>
      <c r="G1941" s="11"/>
      <c r="H1941" s="11"/>
      <c r="I1941" s="14">
        <v>0</v>
      </c>
      <c r="J1941" s="14">
        <v>0</v>
      </c>
      <c r="K1941" s="15" t="str">
        <f>HYPERLINK("http://twitter.com/download/android","Twitter for Android")</f>
        <v>Twitter for Android</v>
      </c>
      <c r="L1941" s="14">
        <v>91</v>
      </c>
      <c r="M1941" s="14">
        <v>277</v>
      </c>
      <c r="N1941" s="14">
        <v>1</v>
      </c>
      <c r="O1941" s="16"/>
      <c r="P1941" s="6">
        <v>43008.828703703708</v>
      </c>
      <c r="Q1941" s="12" t="s">
        <v>3699</v>
      </c>
      <c r="R1941" s="17" t="s">
        <v>7716</v>
      </c>
      <c r="S1941" s="11"/>
      <c r="T1941" s="11"/>
      <c r="U1941" s="10" t="str">
        <f>HYPERLINK("https://pbs.twimg.com/profile_images/1013104227114192896/fp0UMBlB.jpg","View")</f>
        <v>View</v>
      </c>
    </row>
    <row r="1942" spans="1:21" ht="20.399999999999999">
      <c r="A1942" s="6">
        <v>43439.325659722221</v>
      </c>
      <c r="B1942" s="7" t="str">
        <f>HYPERLINK("https://twitter.com/ensata","@ensata")</f>
        <v>@ensata</v>
      </c>
      <c r="C1942" s="8" t="s">
        <v>1092</v>
      </c>
      <c r="D1942" s="9" t="s">
        <v>7717</v>
      </c>
      <c r="E1942" s="10" t="str">
        <f>HYPERLINK("https://twitter.com/ensata/status/1070208385222619136","1070208385222619136")</f>
        <v>1070208385222619136</v>
      </c>
      <c r="F1942" s="11"/>
      <c r="G1942" s="13" t="s">
        <v>7718</v>
      </c>
      <c r="H1942" s="11"/>
      <c r="I1942" s="14">
        <v>0</v>
      </c>
      <c r="J1942" s="14">
        <v>1</v>
      </c>
      <c r="K1942" s="15" t="str">
        <f>HYPERLINK("https://mobile.twitter.com","Twitter Lite")</f>
        <v>Twitter Lite</v>
      </c>
      <c r="L1942" s="14">
        <v>14292</v>
      </c>
      <c r="M1942" s="14">
        <v>13334</v>
      </c>
      <c r="N1942" s="14">
        <v>153</v>
      </c>
      <c r="O1942" s="16"/>
      <c r="P1942" s="6">
        <v>39908.488946759258</v>
      </c>
      <c r="Q1942" s="12" t="s">
        <v>1098</v>
      </c>
      <c r="R1942" s="17" t="s">
        <v>1099</v>
      </c>
      <c r="S1942" s="13" t="s">
        <v>1100</v>
      </c>
      <c r="T1942" s="11"/>
      <c r="U1942" s="10" t="str">
        <f>HYPERLINK("https://pbs.twimg.com/profile_images/2791683192/4237c175fd0e3a07d1b5a37bbebf41ab.jpeg","View")</f>
        <v>View</v>
      </c>
    </row>
    <row r="1943" spans="1:21" ht="81.599999999999994">
      <c r="A1943" s="6">
        <v>43439.324895833328</v>
      </c>
      <c r="B1943" s="7" t="str">
        <f>HYPERLINK("https://twitter.com/CurroTroya","@CurroTroya")</f>
        <v>@CurroTroya</v>
      </c>
      <c r="C1943" s="8" t="s">
        <v>331</v>
      </c>
      <c r="D1943" s="9" t="s">
        <v>6356</v>
      </c>
      <c r="E1943" s="10" t="str">
        <f>HYPERLINK("https://twitter.com/CurroTroya/status/1070208109275168768","1070208109275168768")</f>
        <v>1070208109275168768</v>
      </c>
      <c r="F1943" s="12" t="s">
        <v>6357</v>
      </c>
      <c r="G1943" s="11"/>
      <c r="H1943" s="11"/>
      <c r="I1943" s="14">
        <v>2</v>
      </c>
      <c r="J1943" s="14">
        <v>2</v>
      </c>
      <c r="K1943" s="15" t="str">
        <f>HYPERLINK("https://about.twitter.com/products/tweetdeck","TweetDeck")</f>
        <v>TweetDeck</v>
      </c>
      <c r="L1943" s="14">
        <v>15192</v>
      </c>
      <c r="M1943" s="14">
        <v>6480</v>
      </c>
      <c r="N1943" s="14">
        <v>479</v>
      </c>
      <c r="O1943" s="16"/>
      <c r="P1943" s="6">
        <v>39989.777754629627</v>
      </c>
      <c r="Q1943" s="12" t="s">
        <v>298</v>
      </c>
      <c r="R1943" s="17" t="s">
        <v>333</v>
      </c>
      <c r="S1943" s="13" t="s">
        <v>334</v>
      </c>
      <c r="T1943" s="11"/>
      <c r="U1943" s="10" t="str">
        <f>HYPERLINK("https://pbs.twimg.com/profile_images/1010977003196076033/3hTl853S.jpg","View")</f>
        <v>View</v>
      </c>
    </row>
    <row r="1944" spans="1:21" ht="40.799999999999997">
      <c r="A1944" s="6">
        <v>43439.322557870371</v>
      </c>
      <c r="B1944" s="7" t="str">
        <f t="shared" ref="B1944:B1945" si="379">HYPERLINK("https://twitter.com/DFD_74","@DFD_74")</f>
        <v>@DFD_74</v>
      </c>
      <c r="C1944" s="8" t="s">
        <v>6362</v>
      </c>
      <c r="D1944" s="9" t="s">
        <v>6363</v>
      </c>
      <c r="E1944" s="10" t="str">
        <f>HYPERLINK("https://twitter.com/DFD_74/status/1070207260436111361","1070207260436111361")</f>
        <v>1070207260436111361</v>
      </c>
      <c r="F1944" s="11"/>
      <c r="G1944" s="11"/>
      <c r="H1944" s="11"/>
      <c r="I1944" s="14">
        <v>0</v>
      </c>
      <c r="J1944" s="14">
        <v>0</v>
      </c>
      <c r="K1944" s="15" t="str">
        <f t="shared" ref="K1944:K1945" si="380">HYPERLINK("http://twitter.com/download/iphone","Twitter for iPhone")</f>
        <v>Twitter for iPhone</v>
      </c>
      <c r="L1944" s="14">
        <v>460</v>
      </c>
      <c r="M1944" s="14">
        <v>304</v>
      </c>
      <c r="N1944" s="14">
        <v>1</v>
      </c>
      <c r="O1944" s="16"/>
      <c r="P1944" s="6">
        <v>42993.494652777779</v>
      </c>
      <c r="Q1944" s="11"/>
      <c r="R1944" s="17" t="s">
        <v>6364</v>
      </c>
      <c r="S1944" s="11"/>
      <c r="T1944" s="11"/>
      <c r="U1944" s="10" t="str">
        <f t="shared" ref="U1944:U1945" si="381">HYPERLINK("https://pbs.twimg.com/profile_images/1051195448940273664/S2bLN6Z0.jpg","View")</f>
        <v>View</v>
      </c>
    </row>
    <row r="1945" spans="1:21" ht="30.6">
      <c r="A1945" s="6">
        <v>43439.321238425924</v>
      </c>
      <c r="B1945" s="7" t="str">
        <f t="shared" si="379"/>
        <v>@DFD_74</v>
      </c>
      <c r="C1945" s="8" t="s">
        <v>6362</v>
      </c>
      <c r="D1945" s="9" t="s">
        <v>6365</v>
      </c>
      <c r="E1945" s="10" t="str">
        <f>HYPERLINK("https://twitter.com/DFD_74/status/1070206782797160448","1070206782797160448")</f>
        <v>1070206782797160448</v>
      </c>
      <c r="F1945" s="11"/>
      <c r="G1945" s="11"/>
      <c r="H1945" s="11"/>
      <c r="I1945" s="14">
        <v>0</v>
      </c>
      <c r="J1945" s="14">
        <v>0</v>
      </c>
      <c r="K1945" s="15" t="str">
        <f t="shared" si="380"/>
        <v>Twitter for iPhone</v>
      </c>
      <c r="L1945" s="14">
        <v>460</v>
      </c>
      <c r="M1945" s="14">
        <v>304</v>
      </c>
      <c r="N1945" s="14">
        <v>1</v>
      </c>
      <c r="O1945" s="16"/>
      <c r="P1945" s="6">
        <v>42993.494652777779</v>
      </c>
      <c r="Q1945" s="11"/>
      <c r="R1945" s="17" t="s">
        <v>6364</v>
      </c>
      <c r="S1945" s="11"/>
      <c r="T1945" s="11"/>
      <c r="U1945" s="10" t="str">
        <f t="shared" si="381"/>
        <v>View</v>
      </c>
    </row>
    <row r="1946" spans="1:21" ht="40.799999999999997">
      <c r="A1946" s="6">
        <v>43439.320914351847</v>
      </c>
      <c r="B1946" s="7" t="str">
        <f>HYPERLINK("https://twitter.com/elnacionalcat_e","@elnacionalcat_e")</f>
        <v>@elnacionalcat_e</v>
      </c>
      <c r="C1946" s="8" t="s">
        <v>4541</v>
      </c>
      <c r="D1946" s="9" t="s">
        <v>6153</v>
      </c>
      <c r="E1946" s="10" t="str">
        <f>HYPERLINK("https://twitter.com/elnacionalcat_e/status/1070206668808564743","1070206668808564743")</f>
        <v>1070206668808564743</v>
      </c>
      <c r="F1946" s="13" t="s">
        <v>6154</v>
      </c>
      <c r="G1946" s="11"/>
      <c r="H1946" s="11"/>
      <c r="I1946" s="14">
        <v>2</v>
      </c>
      <c r="J1946" s="14">
        <v>1</v>
      </c>
      <c r="K1946" s="15" t="str">
        <f>HYPERLINK("http://www.wearebab.com","Comitium5 BAB")</f>
        <v>Comitium5 BAB</v>
      </c>
      <c r="L1946" s="14">
        <v>5553</v>
      </c>
      <c r="M1946" s="14">
        <v>355</v>
      </c>
      <c r="N1946" s="14">
        <v>169</v>
      </c>
      <c r="O1946" s="16"/>
      <c r="P1946" s="6">
        <v>42247.840567129635</v>
      </c>
      <c r="Q1946" s="12" t="s">
        <v>3665</v>
      </c>
      <c r="R1946" s="17" t="s">
        <v>4545</v>
      </c>
      <c r="S1946" s="13" t="s">
        <v>4546</v>
      </c>
      <c r="T1946" s="11"/>
      <c r="U1946" s="10" t="str">
        <f>HYPERLINK("https://pbs.twimg.com/profile_images/646298514385960960/VEutSP7L.png","View")</f>
        <v>View</v>
      </c>
    </row>
    <row r="1947" spans="1:21" ht="51">
      <c r="A1947" s="6">
        <v>43439.320636574077</v>
      </c>
      <c r="B1947" s="7" t="str">
        <f>HYPERLINK("https://twitter.com/PelloMazas","@PelloMazas")</f>
        <v>@PelloMazas</v>
      </c>
      <c r="C1947" s="8" t="s">
        <v>6366</v>
      </c>
      <c r="D1947" s="9" t="s">
        <v>6367</v>
      </c>
      <c r="E1947" s="10" t="str">
        <f>HYPERLINK("https://twitter.com/PelloMazas/status/1070206565037289472","1070206565037289472")</f>
        <v>1070206565037289472</v>
      </c>
      <c r="F1947" s="11"/>
      <c r="G1947" s="11"/>
      <c r="H1947" s="11"/>
      <c r="I1947" s="14">
        <v>1</v>
      </c>
      <c r="J1947" s="14">
        <v>1</v>
      </c>
      <c r="K1947" s="15" t="str">
        <f>HYPERLINK("http://twitter.com/download/android","Twitter for Android")</f>
        <v>Twitter for Android</v>
      </c>
      <c r="L1947" s="14">
        <v>215</v>
      </c>
      <c r="M1947" s="14">
        <v>241</v>
      </c>
      <c r="N1947" s="14">
        <v>5</v>
      </c>
      <c r="O1947" s="16"/>
      <c r="P1947" s="6">
        <v>42183.946782407409</v>
      </c>
      <c r="Q1947" s="11"/>
      <c r="R1947" s="18"/>
      <c r="S1947" s="11"/>
      <c r="T1947" s="11"/>
      <c r="U1947" s="10" t="str">
        <f>HYPERLINK("https://pbs.twimg.com/profile_images/953312419744567301/nyi_-9_c.jpg","View")</f>
        <v>View</v>
      </c>
    </row>
    <row r="1948" spans="1:21" ht="51">
      <c r="A1948" s="6">
        <v>43439.320509259254</v>
      </c>
      <c r="B1948" s="7" t="str">
        <f>HYPERLINK("https://twitter.com/Anamaci56027537","@Anamaci56027537")</f>
        <v>@Anamaci56027537</v>
      </c>
      <c r="C1948" s="8" t="s">
        <v>6371</v>
      </c>
      <c r="D1948" s="9" t="s">
        <v>6372</v>
      </c>
      <c r="E1948" s="10" t="str">
        <f>HYPERLINK("https://twitter.com/Anamaci56027537/status/1070206518308540418","1070206518308540418")</f>
        <v>1070206518308540418</v>
      </c>
      <c r="F1948" s="11"/>
      <c r="G1948" s="11"/>
      <c r="H1948" s="11"/>
      <c r="I1948" s="14">
        <v>1</v>
      </c>
      <c r="J1948" s="14">
        <v>1</v>
      </c>
      <c r="K1948" s="15" t="str">
        <f t="shared" ref="K1948:K1949" si="382">HYPERLINK("http://twitter.com/download/iphone","Twitter for iPhone")</f>
        <v>Twitter for iPhone</v>
      </c>
      <c r="L1948" s="14">
        <v>44</v>
      </c>
      <c r="M1948" s="14">
        <v>98</v>
      </c>
      <c r="N1948" s="14">
        <v>0</v>
      </c>
      <c r="O1948" s="16"/>
      <c r="P1948" s="6">
        <v>42792.452384259261</v>
      </c>
      <c r="Q1948" s="12" t="s">
        <v>6376</v>
      </c>
      <c r="R1948" s="17" t="s">
        <v>6377</v>
      </c>
      <c r="S1948" s="11"/>
      <c r="T1948" s="11"/>
      <c r="U1948" s="10" t="str">
        <f>HYPERLINK("https://pbs.twimg.com/profile_images/1070443248525737984/zccICnRr.jpg","View")</f>
        <v>View</v>
      </c>
    </row>
    <row r="1949" spans="1:21" ht="30.6">
      <c r="A1949" s="6">
        <v>43439.320335648154</v>
      </c>
      <c r="B1949" s="7" t="str">
        <f>HYPERLINK("https://twitter.com/johanbusquet","@johanbusquet")</f>
        <v>@johanbusquet</v>
      </c>
      <c r="C1949" s="8" t="s">
        <v>6378</v>
      </c>
      <c r="D1949" s="9" t="s">
        <v>6379</v>
      </c>
      <c r="E1949" s="10" t="str">
        <f>HYPERLINK("https://twitter.com/johanbusquet/status/1070206459026247681","1070206459026247681")</f>
        <v>1070206459026247681</v>
      </c>
      <c r="F1949" s="11"/>
      <c r="G1949" s="13" t="s">
        <v>6380</v>
      </c>
      <c r="H1949" s="11"/>
      <c r="I1949" s="14">
        <v>0</v>
      </c>
      <c r="J1949" s="14">
        <v>2</v>
      </c>
      <c r="K1949" s="15" t="str">
        <f t="shared" si="382"/>
        <v>Twitter for iPhone</v>
      </c>
      <c r="L1949" s="14">
        <v>364</v>
      </c>
      <c r="M1949" s="14">
        <v>470</v>
      </c>
      <c r="N1949" s="14">
        <v>2</v>
      </c>
      <c r="O1949" s="16"/>
      <c r="P1949" s="6">
        <v>40750.056296296294</v>
      </c>
      <c r="Q1949" s="12" t="s">
        <v>6381</v>
      </c>
      <c r="R1949" s="17" t="s">
        <v>6382</v>
      </c>
      <c r="S1949" s="11"/>
      <c r="T1949" s="11"/>
      <c r="U1949" s="10" t="str">
        <f>HYPERLINK("https://pbs.twimg.com/profile_images/914800548913844224/2dc0RTLn.jpg","View")</f>
        <v>View</v>
      </c>
    </row>
    <row r="1950" spans="1:21" ht="20.399999999999999">
      <c r="A1950" s="6">
        <v>43439.319131944445</v>
      </c>
      <c r="B1950" s="7" t="str">
        <f>HYPERLINK("https://twitter.com/rauldelpozoem","@rauldelpozoem")</f>
        <v>@rauldelpozoem</v>
      </c>
      <c r="C1950" s="8" t="s">
        <v>7734</v>
      </c>
      <c r="D1950" s="9" t="s">
        <v>7735</v>
      </c>
      <c r="E1950" s="10" t="str">
        <f>HYPERLINK("https://twitter.com/rauldelpozoem/status/1070206020344000512","1070206020344000512")</f>
        <v>1070206020344000512</v>
      </c>
      <c r="F1950" s="13" t="s">
        <v>4856</v>
      </c>
      <c r="G1950" s="11"/>
      <c r="H1950" s="11"/>
      <c r="I1950" s="14">
        <v>2</v>
      </c>
      <c r="J1950" s="14">
        <v>6</v>
      </c>
      <c r="K1950" s="15" t="str">
        <f t="shared" ref="K1950:K1951" si="383">HYPERLINK("http://twitter.com","Twitter Web Client")</f>
        <v>Twitter Web Client</v>
      </c>
      <c r="L1950" s="14">
        <v>11369</v>
      </c>
      <c r="M1950" s="14">
        <v>318</v>
      </c>
      <c r="N1950" s="14">
        <v>133</v>
      </c>
      <c r="O1950" s="16"/>
      <c r="P1950" s="6">
        <v>42187.952499999999</v>
      </c>
      <c r="Q1950" s="12" t="s">
        <v>7736</v>
      </c>
      <c r="R1950" s="17" t="s">
        <v>7737</v>
      </c>
      <c r="S1950" s="11"/>
      <c r="T1950" s="11"/>
      <c r="U1950" s="10" t="str">
        <f>HYPERLINK("https://pbs.twimg.com/profile_images/616711749522206720/5t9DK0lQ.jpg","View")</f>
        <v>View</v>
      </c>
    </row>
    <row r="1951" spans="1:21" ht="40.799999999999997">
      <c r="A1951" s="6">
        <v>43439.316574074073</v>
      </c>
      <c r="B1951" s="7" t="str">
        <f>HYPERLINK("https://twitter.com/JuanPardoZurg","@JuanPardoZurg")</f>
        <v>@JuanPardoZurg</v>
      </c>
      <c r="C1951" s="8" t="s">
        <v>7741</v>
      </c>
      <c r="D1951" s="9" t="s">
        <v>7742</v>
      </c>
      <c r="E1951" s="10" t="str">
        <f>HYPERLINK("https://twitter.com/JuanPardoZurg/status/1070205093079908352","1070205093079908352")</f>
        <v>1070205093079908352</v>
      </c>
      <c r="F1951" s="13" t="s">
        <v>7743</v>
      </c>
      <c r="G1951" s="13" t="s">
        <v>7746</v>
      </c>
      <c r="H1951" s="11"/>
      <c r="I1951" s="14">
        <v>0</v>
      </c>
      <c r="J1951" s="14">
        <v>0</v>
      </c>
      <c r="K1951" s="15" t="str">
        <f t="shared" si="383"/>
        <v>Twitter Web Client</v>
      </c>
      <c r="L1951" s="14">
        <v>3193</v>
      </c>
      <c r="M1951" s="14">
        <v>3504</v>
      </c>
      <c r="N1951" s="14">
        <v>28</v>
      </c>
      <c r="O1951" s="16"/>
      <c r="P1951" s="6">
        <v>40573.465324074074</v>
      </c>
      <c r="Q1951" s="12" t="s">
        <v>7748</v>
      </c>
      <c r="R1951" s="17" t="s">
        <v>7749</v>
      </c>
      <c r="S1951" s="13" t="s">
        <v>7750</v>
      </c>
      <c r="T1951" s="11"/>
      <c r="U1951" s="10" t="str">
        <f>HYPERLINK("https://pbs.twimg.com/profile_images/3131831949/971e88f7cd576e72961187259ed580ab.jpeg","View")</f>
        <v>View</v>
      </c>
    </row>
    <row r="1952" spans="1:21" ht="40.799999999999997">
      <c r="A1952" s="6">
        <v>43439.316030092596</v>
      </c>
      <c r="B1952" s="7" t="str">
        <f>HYPERLINK("https://twitter.com/jatirado","@jatirado")</f>
        <v>@jatirado</v>
      </c>
      <c r="C1952" s="8" t="s">
        <v>3517</v>
      </c>
      <c r="D1952" s="9" t="s">
        <v>3441</v>
      </c>
      <c r="E1952" s="10" t="str">
        <f>HYPERLINK("https://twitter.com/jatirado/status/1070204898606608384","1070204898606608384")</f>
        <v>1070204898606608384</v>
      </c>
      <c r="F1952" s="13" t="s">
        <v>7753</v>
      </c>
      <c r="G1952" s="13" t="s">
        <v>7754</v>
      </c>
      <c r="H1952" s="11"/>
      <c r="I1952" s="14">
        <v>0</v>
      </c>
      <c r="J1952" s="14">
        <v>1</v>
      </c>
      <c r="K1952" s="15" t="str">
        <f>HYPERLINK("https://dlvrit.com/","dlvr.it")</f>
        <v>dlvr.it</v>
      </c>
      <c r="L1952" s="14">
        <v>81545</v>
      </c>
      <c r="M1952" s="14">
        <v>49760</v>
      </c>
      <c r="N1952" s="14">
        <v>1030</v>
      </c>
      <c r="O1952" s="16"/>
      <c r="P1952" s="6">
        <v>40353.552581018521</v>
      </c>
      <c r="Q1952" s="12" t="s">
        <v>29</v>
      </c>
      <c r="R1952" s="17" t="s">
        <v>3522</v>
      </c>
      <c r="S1952" s="13" t="s">
        <v>3523</v>
      </c>
      <c r="T1952" s="11"/>
      <c r="U1952" s="10" t="str">
        <f>HYPERLINK("https://pbs.twimg.com/profile_images/485680559742791680/dg68o8vH.jpeg","View")</f>
        <v>View</v>
      </c>
    </row>
    <row r="1953" spans="1:21" ht="40.799999999999997">
      <c r="A1953" s="6">
        <v>43439.310601851852</v>
      </c>
      <c r="B1953" s="7" t="str">
        <f>HYPERLINK("https://twitter.com/priaranzita","@priaranzita")</f>
        <v>@priaranzita</v>
      </c>
      <c r="C1953" s="8" t="s">
        <v>6383</v>
      </c>
      <c r="D1953" s="9" t="s">
        <v>6384</v>
      </c>
      <c r="E1953" s="10" t="str">
        <f>HYPERLINK("https://twitter.com/priaranzita/status/1070202929347473409","1070202929347473409")</f>
        <v>1070202929347473409</v>
      </c>
      <c r="F1953" s="13" t="s">
        <v>6385</v>
      </c>
      <c r="G1953" s="13" t="s">
        <v>4951</v>
      </c>
      <c r="H1953" s="11"/>
      <c r="I1953" s="14">
        <v>0</v>
      </c>
      <c r="J1953" s="14">
        <v>0</v>
      </c>
      <c r="K1953" s="15" t="str">
        <f t="shared" ref="K1953:K1954" si="384">HYPERLINK("http://twitter.com","Twitter Web Client")</f>
        <v>Twitter Web Client</v>
      </c>
      <c r="L1953" s="14">
        <v>238</v>
      </c>
      <c r="M1953" s="14">
        <v>381</v>
      </c>
      <c r="N1953" s="14">
        <v>13</v>
      </c>
      <c r="O1953" s="16"/>
      <c r="P1953" s="6">
        <v>41158.957696759258</v>
      </c>
      <c r="Q1953" s="11"/>
      <c r="R1953" s="17" t="s">
        <v>6386</v>
      </c>
      <c r="S1953" s="11"/>
      <c r="T1953" s="11"/>
      <c r="U1953" s="10" t="str">
        <f>HYPERLINK("https://pbs.twimg.com/profile_images/418289094687354880/hHnPkEog.jpeg","View")</f>
        <v>View</v>
      </c>
    </row>
    <row r="1954" spans="1:21" ht="13.2">
      <c r="A1954" s="6">
        <v>43439.290451388893</v>
      </c>
      <c r="B1954" s="7" t="str">
        <f>HYPERLINK("https://twitter.com/zepol54","@zepol54")</f>
        <v>@zepol54</v>
      </c>
      <c r="C1954" s="8" t="s">
        <v>7758</v>
      </c>
      <c r="D1954" s="9" t="s">
        <v>7759</v>
      </c>
      <c r="E1954" s="10" t="str">
        <f>HYPERLINK("https://twitter.com/zepol54/status/1070195628368691200","1070195628368691200")</f>
        <v>1070195628368691200</v>
      </c>
      <c r="F1954" s="13" t="s">
        <v>7760</v>
      </c>
      <c r="G1954" s="11"/>
      <c r="H1954" s="11"/>
      <c r="I1954" s="14">
        <v>0</v>
      </c>
      <c r="J1954" s="14">
        <v>0</v>
      </c>
      <c r="K1954" s="15" t="str">
        <f t="shared" si="384"/>
        <v>Twitter Web Client</v>
      </c>
      <c r="L1954" s="14">
        <v>223</v>
      </c>
      <c r="M1954" s="14">
        <v>929</v>
      </c>
      <c r="N1954" s="14">
        <v>14</v>
      </c>
      <c r="O1954" s="16"/>
      <c r="P1954" s="6">
        <v>40298.669664351852</v>
      </c>
      <c r="Q1954" s="11"/>
      <c r="R1954" s="18"/>
      <c r="S1954" s="11"/>
      <c r="T1954" s="11"/>
      <c r="U1954" s="10" t="str">
        <f>HYPERLINK("https://pbs.twimg.com/profile_images/498004385331687424/1ba3zCo7.jpeg","View")</f>
        <v>View</v>
      </c>
    </row>
    <row r="1955" spans="1:21" ht="51">
      <c r="A1955" s="6">
        <v>43439.284444444449</v>
      </c>
      <c r="B1955" s="7" t="str">
        <f>HYPERLINK("https://twitter.com/culebra1978","@culebra1978")</f>
        <v>@culebra1978</v>
      </c>
      <c r="C1955" s="8" t="s">
        <v>4869</v>
      </c>
      <c r="D1955" s="9" t="s">
        <v>6387</v>
      </c>
      <c r="E1955" s="10" t="str">
        <f>HYPERLINK("https://twitter.com/culebra1978/status/1070193452477005824","1070193452477005824")</f>
        <v>1070193452477005824</v>
      </c>
      <c r="F1955" s="11"/>
      <c r="G1955" s="11"/>
      <c r="H1955" s="11"/>
      <c r="I1955" s="14">
        <v>112</v>
      </c>
      <c r="J1955" s="14">
        <v>193</v>
      </c>
      <c r="K1955" s="15" t="str">
        <f>HYPERLINK("http://twitter.com/download/android","Twitter for Android")</f>
        <v>Twitter for Android</v>
      </c>
      <c r="L1955" s="14">
        <v>7211</v>
      </c>
      <c r="M1955" s="14">
        <v>5764</v>
      </c>
      <c r="N1955" s="14">
        <v>11</v>
      </c>
      <c r="O1955" s="16"/>
      <c r="P1955" s="6">
        <v>41008.866574074076</v>
      </c>
      <c r="Q1955" s="12" t="s">
        <v>4871</v>
      </c>
      <c r="R1955" s="17" t="s">
        <v>4872</v>
      </c>
      <c r="S1955" s="11"/>
      <c r="T1955" s="11"/>
      <c r="U1955" s="10" t="str">
        <f>HYPERLINK("https://pbs.twimg.com/profile_images/1042005741668900866/Z6LFT-O8.jpg","View")</f>
        <v>View</v>
      </c>
    </row>
    <row r="1956" spans="1:21" ht="40.799999999999997">
      <c r="A1956" s="6">
        <v>43439.28334490741</v>
      </c>
      <c r="B1956" s="7" t="str">
        <f>HYPERLINK("https://twitter.com/enriquedediegov","@enriquedediegov")</f>
        <v>@enriquedediegov</v>
      </c>
      <c r="C1956" s="8" t="s">
        <v>5108</v>
      </c>
      <c r="D1956" s="9" t="s">
        <v>5109</v>
      </c>
      <c r="E1956" s="10" t="str">
        <f>HYPERLINK("https://twitter.com/enriquedediegov/status/1070193050931159040","1070193050931159040")</f>
        <v>1070193050931159040</v>
      </c>
      <c r="F1956" s="13" t="s">
        <v>7766</v>
      </c>
      <c r="G1956" s="11"/>
      <c r="H1956" s="11"/>
      <c r="I1956" s="14">
        <v>5</v>
      </c>
      <c r="J1956" s="14">
        <v>5</v>
      </c>
      <c r="K1956" s="15" t="str">
        <f>HYPERLINK("http://twitter.com","Twitter Web Client")</f>
        <v>Twitter Web Client</v>
      </c>
      <c r="L1956" s="14">
        <v>7792</v>
      </c>
      <c r="M1956" s="14">
        <v>6053</v>
      </c>
      <c r="N1956" s="14">
        <v>179</v>
      </c>
      <c r="O1956" s="16"/>
      <c r="P1956" s="6">
        <v>41293.717129629629</v>
      </c>
      <c r="Q1956" s="12" t="s">
        <v>137</v>
      </c>
      <c r="R1956" s="17" t="s">
        <v>5113</v>
      </c>
      <c r="S1956" s="13" t="s">
        <v>5114</v>
      </c>
      <c r="T1956" s="11"/>
      <c r="U1956" s="10" t="str">
        <f>HYPERLINK("https://pbs.twimg.com/profile_images/3129623790/4ae197d01442e05dee4622297c3b9642.jpeg","View")</f>
        <v>View</v>
      </c>
    </row>
    <row r="1957" spans="1:21" ht="51">
      <c r="A1957" s="6">
        <v>43439.264872685184</v>
      </c>
      <c r="B1957" s="7" t="str">
        <f>HYPERLINK("https://twitter.com/SergiVikingo","@SergiVikingo")</f>
        <v>@SergiVikingo</v>
      </c>
      <c r="C1957" s="8" t="s">
        <v>559</v>
      </c>
      <c r="D1957" s="9" t="s">
        <v>6388</v>
      </c>
      <c r="E1957" s="10" t="str">
        <f>HYPERLINK("https://twitter.com/SergiVikingo/status/1070186356440264705","1070186356440264705")</f>
        <v>1070186356440264705</v>
      </c>
      <c r="F1957" s="11"/>
      <c r="G1957" s="11"/>
      <c r="H1957" s="11"/>
      <c r="I1957" s="14">
        <v>0</v>
      </c>
      <c r="J1957" s="14">
        <v>0</v>
      </c>
      <c r="K1957" s="15" t="str">
        <f>HYPERLINK("http://twitter.com/download/iphone","Twitter for iPhone")</f>
        <v>Twitter for iPhone</v>
      </c>
      <c r="L1957" s="14">
        <v>3771</v>
      </c>
      <c r="M1957" s="14">
        <v>958</v>
      </c>
      <c r="N1957" s="14">
        <v>22</v>
      </c>
      <c r="O1957" s="16"/>
      <c r="P1957" s="6">
        <v>41282.883553240739</v>
      </c>
      <c r="Q1957" s="11"/>
      <c r="R1957" s="18"/>
      <c r="S1957" s="11"/>
      <c r="T1957" s="11"/>
      <c r="U1957" s="10" t="str">
        <f>HYPERLINK("https://pbs.twimg.com/profile_images/956259846638198787/5OvGUx8E.jpg","View")</f>
        <v>View</v>
      </c>
    </row>
    <row r="1958" spans="1:21" ht="40.799999999999997">
      <c r="A1958" s="6">
        <v>43439.260497685187</v>
      </c>
      <c r="B1958" s="7" t="str">
        <f>HYPERLINK("https://twitter.com/lextresabogados","@lextresabogados")</f>
        <v>@lextresabogados</v>
      </c>
      <c r="C1958" s="8" t="s">
        <v>26</v>
      </c>
      <c r="D1958" s="9" t="s">
        <v>7771</v>
      </c>
      <c r="E1958" s="10" t="str">
        <f>HYPERLINK("https://twitter.com/lextresabogados/status/1070184771974823937","1070184771974823937")</f>
        <v>1070184771974823937</v>
      </c>
      <c r="F1958" s="13" t="s">
        <v>6392</v>
      </c>
      <c r="G1958" s="13" t="s">
        <v>7774</v>
      </c>
      <c r="H1958" s="11"/>
      <c r="I1958" s="14">
        <v>0</v>
      </c>
      <c r="J1958" s="14">
        <v>0</v>
      </c>
      <c r="K1958" s="15" t="str">
        <f>HYPERLINK("http://35.180.36.179","botize nueva")</f>
        <v>botize nueva</v>
      </c>
      <c r="L1958" s="14">
        <v>2912</v>
      </c>
      <c r="M1958" s="14">
        <v>3525</v>
      </c>
      <c r="N1958" s="14">
        <v>26</v>
      </c>
      <c r="O1958" s="16"/>
      <c r="P1958" s="6">
        <v>42880.770949074074</v>
      </c>
      <c r="Q1958" s="12" t="s">
        <v>35</v>
      </c>
      <c r="R1958" s="17" t="s">
        <v>36</v>
      </c>
      <c r="S1958" s="13" t="s">
        <v>37</v>
      </c>
      <c r="T1958" s="11"/>
      <c r="U1958" s="10" t="str">
        <f>HYPERLINK("https://pbs.twimg.com/profile_images/1068056978679898113/YnjKwiVy.jpg","View")</f>
        <v>View</v>
      </c>
    </row>
    <row r="1959" spans="1:21" ht="51">
      <c r="A1959" s="6">
        <v>43439.260428240741</v>
      </c>
      <c r="B1959" s="7" t="str">
        <f>HYPERLINK("https://twitter.com/20m","@20m")</f>
        <v>@20m</v>
      </c>
      <c r="C1959" s="21" t="s">
        <v>6308</v>
      </c>
      <c r="D1959" s="9" t="s">
        <v>6391</v>
      </c>
      <c r="E1959" s="10" t="str">
        <f>HYPERLINK("https://twitter.com/20m/status/1070184745655504896","1070184745655504896")</f>
        <v>1070184745655504896</v>
      </c>
      <c r="F1959" s="13" t="s">
        <v>6392</v>
      </c>
      <c r="G1959" s="13" t="s">
        <v>6394</v>
      </c>
      <c r="H1959" s="11"/>
      <c r="I1959" s="14">
        <v>2</v>
      </c>
      <c r="J1959" s="14">
        <v>1</v>
      </c>
      <c r="K1959" s="15" t="str">
        <f>HYPERLINK("http://dogtrack.es","DogTrack_Oficial")</f>
        <v>DogTrack_Oficial</v>
      </c>
      <c r="L1959" s="14">
        <v>1353522</v>
      </c>
      <c r="M1959" s="14">
        <v>51093</v>
      </c>
      <c r="N1959" s="14">
        <v>14083</v>
      </c>
      <c r="O1959" s="19" t="s">
        <v>42</v>
      </c>
      <c r="P1959" s="6">
        <v>39917.485891203702</v>
      </c>
      <c r="Q1959" s="12" t="s">
        <v>181</v>
      </c>
      <c r="R1959" s="17" t="s">
        <v>6314</v>
      </c>
      <c r="S1959" s="13" t="s">
        <v>6315</v>
      </c>
      <c r="T1959" s="11"/>
      <c r="U1959" s="10" t="str">
        <f>HYPERLINK("https://pbs.twimg.com/profile_images/1013670314285420544/gwCE6EJr.jpg","View")</f>
        <v>View</v>
      </c>
    </row>
    <row r="1960" spans="1:21" ht="30.6">
      <c r="A1960" s="6">
        <v>43439.191990740743</v>
      </c>
      <c r="B1960" s="7" t="str">
        <f>HYPERLINK("https://twitter.com/poporing_","@poporing_")</f>
        <v>@poporing_</v>
      </c>
      <c r="C1960" s="8" t="s">
        <v>7779</v>
      </c>
      <c r="D1960" s="9" t="s">
        <v>7780</v>
      </c>
      <c r="E1960" s="10" t="str">
        <f>HYPERLINK("https://twitter.com/poporing_/status/1070159945730002944","1070159945730002944")</f>
        <v>1070159945730002944</v>
      </c>
      <c r="F1960" s="11"/>
      <c r="G1960" s="11"/>
      <c r="H1960" s="11"/>
      <c r="I1960" s="14">
        <v>0</v>
      </c>
      <c r="J1960" s="14">
        <v>8</v>
      </c>
      <c r="K1960" s="15" t="str">
        <f>HYPERLINK("http://twitter.com","Twitter Web Client")</f>
        <v>Twitter Web Client</v>
      </c>
      <c r="L1960" s="14">
        <v>979</v>
      </c>
      <c r="M1960" s="14">
        <v>422</v>
      </c>
      <c r="N1960" s="14">
        <v>21</v>
      </c>
      <c r="O1960" s="16"/>
      <c r="P1960" s="6">
        <v>41143.835891203707</v>
      </c>
      <c r="Q1960" s="12" t="s">
        <v>7781</v>
      </c>
      <c r="R1960" s="17" t="s">
        <v>7782</v>
      </c>
      <c r="S1960" s="13" t="s">
        <v>7783</v>
      </c>
      <c r="T1960" s="11"/>
      <c r="U1960" s="10" t="str">
        <f>HYPERLINK("https://pbs.twimg.com/profile_images/1029073380601868289/dXGDWUta.jpg","View")</f>
        <v>View</v>
      </c>
    </row>
    <row r="1961" spans="1:21" ht="40.799999999999997">
      <c r="A1961" s="6">
        <v>43439.188055555554</v>
      </c>
      <c r="B1961" s="7" t="str">
        <f>HYPERLINK("https://twitter.com/AdeSiracusa","@AdeSiracusa")</f>
        <v>@AdeSiracusa</v>
      </c>
      <c r="C1961" s="8" t="s">
        <v>79</v>
      </c>
      <c r="D1961" s="9" t="s">
        <v>7784</v>
      </c>
      <c r="E1961" s="10" t="str">
        <f>HYPERLINK("https://twitter.com/AdeSiracusa/status/1070158520350322689","1070158520350322689")</f>
        <v>1070158520350322689</v>
      </c>
      <c r="F1961" s="13" t="s">
        <v>7786</v>
      </c>
      <c r="G1961" s="11"/>
      <c r="H1961" s="11"/>
      <c r="I1961" s="14">
        <v>0</v>
      </c>
      <c r="J1961" s="14">
        <v>0</v>
      </c>
      <c r="K1961" s="15" t="str">
        <f>HYPERLINK("http://www.republicosvenezuela.com/","AdeSiracusa")</f>
        <v>AdeSiracusa</v>
      </c>
      <c r="L1961" s="14">
        <v>4091</v>
      </c>
      <c r="M1961" s="14">
        <v>4122</v>
      </c>
      <c r="N1961" s="14">
        <v>12</v>
      </c>
      <c r="O1961" s="16"/>
      <c r="P1961" s="6">
        <v>42958.576388888891</v>
      </c>
      <c r="Q1961" s="12" t="s">
        <v>87</v>
      </c>
      <c r="R1961" s="17" t="s">
        <v>88</v>
      </c>
      <c r="S1961" s="11"/>
      <c r="T1961" s="11"/>
      <c r="U1961" s="10" t="str">
        <f>HYPERLINK("https://pbs.twimg.com/profile_images/895978354591105024/x2wNXrPl.jpg","View")</f>
        <v>View</v>
      </c>
    </row>
    <row r="1962" spans="1:21" ht="51">
      <c r="A1962" s="6">
        <v>43439.165243055555</v>
      </c>
      <c r="B1962" s="7" t="str">
        <f>HYPERLINK("https://twitter.com/UlisesGamez10","@UlisesGamez10")</f>
        <v>@UlisesGamez10</v>
      </c>
      <c r="C1962" s="8" t="s">
        <v>3569</v>
      </c>
      <c r="D1962" s="9" t="s">
        <v>7787</v>
      </c>
      <c r="E1962" s="10" t="str">
        <f>HYPERLINK("https://twitter.com/UlisesGamez10/status/1070150252664119296","1070150252664119296")</f>
        <v>1070150252664119296</v>
      </c>
      <c r="F1962" s="11"/>
      <c r="G1962" s="13" t="s">
        <v>7788</v>
      </c>
      <c r="H1962" s="11"/>
      <c r="I1962" s="14">
        <v>0</v>
      </c>
      <c r="J1962" s="14">
        <v>0</v>
      </c>
      <c r="K1962" s="15" t="str">
        <f>HYPERLINK("http://twitter.com/download/android","Twitter for Android")</f>
        <v>Twitter for Android</v>
      </c>
      <c r="L1962" s="14">
        <v>1184</v>
      </c>
      <c r="M1962" s="14">
        <v>5002</v>
      </c>
      <c r="N1962" s="14">
        <v>0</v>
      </c>
      <c r="O1962" s="16"/>
      <c r="P1962" s="6">
        <v>43190.59783564815</v>
      </c>
      <c r="Q1962" s="12" t="s">
        <v>3571</v>
      </c>
      <c r="R1962" s="17" t="s">
        <v>3572</v>
      </c>
      <c r="S1962" s="11"/>
      <c r="T1962" s="11"/>
      <c r="U1962" s="10" t="str">
        <f>HYPERLINK("https://pbs.twimg.com/profile_images/1068881444196499456/MCgxp2WR.jpg","View")</f>
        <v>View</v>
      </c>
    </row>
    <row r="1963" spans="1:21" ht="40.799999999999997">
      <c r="A1963" s="6">
        <v>43439.154479166667</v>
      </c>
      <c r="B1963" s="7" t="str">
        <f>HYPERLINK("https://twitter.com/AdeSiracusa","@AdeSiracusa")</f>
        <v>@AdeSiracusa</v>
      </c>
      <c r="C1963" s="8" t="s">
        <v>79</v>
      </c>
      <c r="D1963" s="9" t="s">
        <v>7789</v>
      </c>
      <c r="E1963" s="10" t="str">
        <f>HYPERLINK("https://twitter.com/AdeSiracusa/status/1070146354108907520","1070146354108907520")</f>
        <v>1070146354108907520</v>
      </c>
      <c r="F1963" s="13" t="s">
        <v>7791</v>
      </c>
      <c r="G1963" s="11"/>
      <c r="H1963" s="11"/>
      <c r="I1963" s="14">
        <v>0</v>
      </c>
      <c r="J1963" s="14">
        <v>0</v>
      </c>
      <c r="K1963" s="15" t="str">
        <f>HYPERLINK("http://www.republicosvenezuela.com/","AdeSiracusa")</f>
        <v>AdeSiracusa</v>
      </c>
      <c r="L1963" s="14">
        <v>4091</v>
      </c>
      <c r="M1963" s="14">
        <v>4122</v>
      </c>
      <c r="N1963" s="14">
        <v>12</v>
      </c>
      <c r="O1963" s="16"/>
      <c r="P1963" s="6">
        <v>42958.576388888891</v>
      </c>
      <c r="Q1963" s="12" t="s">
        <v>87</v>
      </c>
      <c r="R1963" s="17" t="s">
        <v>88</v>
      </c>
      <c r="S1963" s="11"/>
      <c r="T1963" s="11"/>
      <c r="U1963" s="10" t="str">
        <f>HYPERLINK("https://pbs.twimg.com/profile_images/895978354591105024/x2wNXrPl.jpg","View")</f>
        <v>View</v>
      </c>
    </row>
    <row r="1964" spans="1:21" ht="81.599999999999994">
      <c r="A1964" s="6">
        <v>43439.144456018519</v>
      </c>
      <c r="B1964" s="7" t="str">
        <f>HYPERLINK("https://twitter.com/abogadodesecano","@abogadodesecano")</f>
        <v>@abogadodesecano</v>
      </c>
      <c r="C1964" s="8" t="s">
        <v>6399</v>
      </c>
      <c r="D1964" s="9" t="s">
        <v>6400</v>
      </c>
      <c r="E1964" s="10" t="str">
        <f>HYPERLINK("https://twitter.com/abogadodesecano/status/1070142719996108801","1070142719996108801")</f>
        <v>1070142719996108801</v>
      </c>
      <c r="F1964" s="13" t="s">
        <v>6401</v>
      </c>
      <c r="G1964" s="11"/>
      <c r="H1964" s="11"/>
      <c r="I1964" s="14">
        <v>1</v>
      </c>
      <c r="J1964" s="14">
        <v>0</v>
      </c>
      <c r="K1964" s="15" t="str">
        <f t="shared" ref="K1964:K1966" si="385">HYPERLINK("http://twitter.com/download/android","Twitter for Android")</f>
        <v>Twitter for Android</v>
      </c>
      <c r="L1964" s="14">
        <v>1035</v>
      </c>
      <c r="M1964" s="14">
        <v>1040</v>
      </c>
      <c r="N1964" s="14">
        <v>0</v>
      </c>
      <c r="O1964" s="16"/>
      <c r="P1964" s="6">
        <v>43106.05541666667</v>
      </c>
      <c r="Q1964" s="12" t="s">
        <v>137</v>
      </c>
      <c r="R1964" s="17" t="s">
        <v>6404</v>
      </c>
      <c r="S1964" s="11"/>
      <c r="T1964" s="11"/>
      <c r="U1964" s="10" t="str">
        <f>HYPERLINK("https://pbs.twimg.com/profile_images/1047618210995081217/7lFZ0JmW.jpg","View")</f>
        <v>View</v>
      </c>
    </row>
    <row r="1965" spans="1:21" ht="51">
      <c r="A1965" s="6">
        <v>43439.139502314814</v>
      </c>
      <c r="B1965" s="7" t="str">
        <f>HYPERLINK("https://twitter.com/Guturbay","@Guturbay")</f>
        <v>@Guturbay</v>
      </c>
      <c r="C1965" s="8" t="s">
        <v>6408</v>
      </c>
      <c r="D1965" s="9" t="s">
        <v>6409</v>
      </c>
      <c r="E1965" s="10" t="str">
        <f>HYPERLINK("https://twitter.com/Guturbay/status/1070140925471588354","1070140925471588354")</f>
        <v>1070140925471588354</v>
      </c>
      <c r="F1965" s="11"/>
      <c r="G1965" s="11"/>
      <c r="H1965" s="11"/>
      <c r="I1965" s="14">
        <v>0</v>
      </c>
      <c r="J1965" s="14">
        <v>0</v>
      </c>
      <c r="K1965" s="15" t="str">
        <f t="shared" si="385"/>
        <v>Twitter for Android</v>
      </c>
      <c r="L1965" s="14">
        <v>800</v>
      </c>
      <c r="M1965" s="14">
        <v>1547</v>
      </c>
      <c r="N1965" s="14">
        <v>19</v>
      </c>
      <c r="O1965" s="16"/>
      <c r="P1965" s="6">
        <v>40591.164664351854</v>
      </c>
      <c r="Q1965" s="12" t="s">
        <v>6410</v>
      </c>
      <c r="R1965" s="17" t="s">
        <v>6411</v>
      </c>
      <c r="S1965" s="11"/>
      <c r="T1965" s="11"/>
      <c r="U1965" s="10" t="str">
        <f>HYPERLINK("https://pbs.twimg.com/profile_images/773415989358764032/Z5JvYhnG.jpg","View")</f>
        <v>View</v>
      </c>
    </row>
    <row r="1966" spans="1:21" ht="40.799999999999997">
      <c r="A1966" s="6">
        <v>43439.128738425927</v>
      </c>
      <c r="B1966" s="7" t="str">
        <f>HYPERLINK("https://twitter.com/AstroVulcanTeor","@AstroVulcanTeor")</f>
        <v>@AstroVulcanTeor</v>
      </c>
      <c r="C1966" s="8" t="s">
        <v>6415</v>
      </c>
      <c r="D1966" s="9" t="s">
        <v>6416</v>
      </c>
      <c r="E1966" s="10" t="str">
        <f>HYPERLINK("https://twitter.com/AstroVulcanTeor/status/1070137022801764353","1070137022801764353")</f>
        <v>1070137022801764353</v>
      </c>
      <c r="F1966" s="11"/>
      <c r="G1966" s="11"/>
      <c r="H1966" s="11"/>
      <c r="I1966" s="14">
        <v>0</v>
      </c>
      <c r="J1966" s="14">
        <v>0</v>
      </c>
      <c r="K1966" s="15" t="str">
        <f t="shared" si="385"/>
        <v>Twitter for Android</v>
      </c>
      <c r="L1966" s="14">
        <v>313</v>
      </c>
      <c r="M1966" s="14">
        <v>230</v>
      </c>
      <c r="N1966" s="14">
        <v>9</v>
      </c>
      <c r="O1966" s="16"/>
      <c r="P1966" s="6">
        <v>39700.008634259255</v>
      </c>
      <c r="Q1966" s="12" t="s">
        <v>6417</v>
      </c>
      <c r="R1966" s="17" t="s">
        <v>6418</v>
      </c>
      <c r="S1966" s="13" t="s">
        <v>6419</v>
      </c>
      <c r="T1966" s="11"/>
      <c r="U1966" s="10" t="str">
        <f>HYPERLINK("https://pbs.twimg.com/profile_images/1066860492805812229/i5cw8m0Q.jpg","View")</f>
        <v>View</v>
      </c>
    </row>
    <row r="1967" spans="1:21" ht="40.799999999999997">
      <c r="A1967" s="6">
        <v>43439.111550925925</v>
      </c>
      <c r="B1967" s="7" t="str">
        <f>HYPERLINK("https://twitter.com/jupiterxc","@jupiterxc")</f>
        <v>@jupiterxc</v>
      </c>
      <c r="C1967" s="8" t="s">
        <v>7798</v>
      </c>
      <c r="D1967" s="9" t="s">
        <v>7799</v>
      </c>
      <c r="E1967" s="10" t="str">
        <f>HYPERLINK("https://twitter.com/jupiterxc/status/1070130795501838341","1070130795501838341")</f>
        <v>1070130795501838341</v>
      </c>
      <c r="F1967" s="11"/>
      <c r="G1967" s="11"/>
      <c r="H1967" s="11"/>
      <c r="I1967" s="14">
        <v>0</v>
      </c>
      <c r="J1967" s="14">
        <v>0</v>
      </c>
      <c r="K1967" s="15" t="str">
        <f>HYPERLINK("http://twitter.com","Twitter Web Client")</f>
        <v>Twitter Web Client</v>
      </c>
      <c r="L1967" s="14">
        <v>2773</v>
      </c>
      <c r="M1967" s="14">
        <v>5000</v>
      </c>
      <c r="N1967" s="14">
        <v>32</v>
      </c>
      <c r="O1967" s="16"/>
      <c r="P1967" s="6">
        <v>41881.033148148148</v>
      </c>
      <c r="Q1967" s="12" t="s">
        <v>4498</v>
      </c>
      <c r="R1967" s="17" t="s">
        <v>7800</v>
      </c>
      <c r="S1967" s="11"/>
      <c r="T1967" s="11"/>
      <c r="U1967" s="10" t="str">
        <f>HYPERLINK("https://pbs.twimg.com/profile_images/666718428129075200/oHxsurXV.jpg","View")</f>
        <v>View</v>
      </c>
    </row>
    <row r="1968" spans="1:21" ht="20.399999999999999">
      <c r="A1968" s="6">
        <v>43439.085787037038</v>
      </c>
      <c r="B1968" s="7" t="str">
        <f>HYPERLINK("https://twitter.com/diegocruzblog","@diegocruzblog")</f>
        <v>@diegocruzblog</v>
      </c>
      <c r="C1968" s="8" t="s">
        <v>4528</v>
      </c>
      <c r="D1968" s="9" t="s">
        <v>6420</v>
      </c>
      <c r="E1968" s="10" t="str">
        <f>HYPERLINK("https://twitter.com/diegocruzblog/status/1070121461434732544","1070121461434732544")</f>
        <v>1070121461434732544</v>
      </c>
      <c r="F1968" s="11"/>
      <c r="G1968" s="11"/>
      <c r="H1968" s="11"/>
      <c r="I1968" s="14">
        <v>2</v>
      </c>
      <c r="J1968" s="14">
        <v>5</v>
      </c>
      <c r="K1968" s="15" t="str">
        <f>HYPERLINK("http://twitter.com/download/android","Twitter for Android")</f>
        <v>Twitter for Android</v>
      </c>
      <c r="L1968" s="14">
        <v>24191</v>
      </c>
      <c r="M1968" s="14">
        <v>22088</v>
      </c>
      <c r="N1968" s="14">
        <v>538</v>
      </c>
      <c r="O1968" s="16"/>
      <c r="P1968" s="6">
        <v>39465.420439814814</v>
      </c>
      <c r="Q1968" s="12" t="s">
        <v>4531</v>
      </c>
      <c r="R1968" s="17" t="s">
        <v>4532</v>
      </c>
      <c r="S1968" s="13" t="s">
        <v>4533</v>
      </c>
      <c r="T1968" s="11"/>
      <c r="U1968" s="10" t="str">
        <f>HYPERLINK("https://pbs.twimg.com/profile_images/957406979936448513/tF4hyXi5.jpg","View")</f>
        <v>View</v>
      </c>
    </row>
    <row r="1969" spans="1:21" ht="51">
      <c r="A1969" s="6">
        <v>43439.083715277782</v>
      </c>
      <c r="B1969" s="7" t="str">
        <f>HYPERLINK("https://twitter.com/BluetruthCom","@BluetruthCom")</f>
        <v>@BluetruthCom</v>
      </c>
      <c r="C1969" s="8" t="s">
        <v>4792</v>
      </c>
      <c r="D1969" s="9" t="s">
        <v>6425</v>
      </c>
      <c r="E1969" s="10" t="str">
        <f>HYPERLINK("https://twitter.com/BluetruthCom/status/1070120707869368320","1070120707869368320")</f>
        <v>1070120707869368320</v>
      </c>
      <c r="F1969" s="11"/>
      <c r="G1969" s="13" t="s">
        <v>6426</v>
      </c>
      <c r="H1969" s="11"/>
      <c r="I1969" s="14">
        <v>2</v>
      </c>
      <c r="J1969" s="14">
        <v>0</v>
      </c>
      <c r="K1969" s="15" t="str">
        <f>HYPERLINK("http://twitter.com","Twitter Web Client")</f>
        <v>Twitter Web Client</v>
      </c>
      <c r="L1969" s="14">
        <v>210</v>
      </c>
      <c r="M1969" s="14">
        <v>475</v>
      </c>
      <c r="N1969" s="14">
        <v>5</v>
      </c>
      <c r="O1969" s="16"/>
      <c r="P1969" s="6">
        <v>41186.909004629633</v>
      </c>
      <c r="Q1969" s="12" t="s">
        <v>1695</v>
      </c>
      <c r="R1969" s="17" t="s">
        <v>4795</v>
      </c>
      <c r="S1969" s="11"/>
      <c r="T1969" s="11"/>
      <c r="U1969" s="10" t="str">
        <f>HYPERLINK("https://pbs.twimg.com/profile_images/1007975507193942016/vaishrvW.jpg","View")</f>
        <v>View</v>
      </c>
    </row>
    <row r="1970" spans="1:21" ht="51">
      <c r="A1970" s="6">
        <v>43439.073171296295</v>
      </c>
      <c r="B1970" s="7" t="str">
        <f>HYPERLINK("https://twitter.com/diegocruzblog","@diegocruzblog")</f>
        <v>@diegocruzblog</v>
      </c>
      <c r="C1970" s="8" t="s">
        <v>4528</v>
      </c>
      <c r="D1970" s="9" t="s">
        <v>6427</v>
      </c>
      <c r="E1970" s="10" t="str">
        <f>HYPERLINK("https://twitter.com/diegocruzblog/status/1070116886799630336","1070116886799630336")</f>
        <v>1070116886799630336</v>
      </c>
      <c r="F1970" s="12" t="s">
        <v>6428</v>
      </c>
      <c r="G1970" s="11"/>
      <c r="H1970" s="11"/>
      <c r="I1970" s="14">
        <v>3</v>
      </c>
      <c r="J1970" s="14">
        <v>0</v>
      </c>
      <c r="K1970" s="15" t="str">
        <f t="shared" ref="K1970:K1971" si="386">HYPERLINK("http://twitter.com/download/android","Twitter for Android")</f>
        <v>Twitter for Android</v>
      </c>
      <c r="L1970" s="14">
        <v>24191</v>
      </c>
      <c r="M1970" s="14">
        <v>22088</v>
      </c>
      <c r="N1970" s="14">
        <v>538</v>
      </c>
      <c r="O1970" s="16"/>
      <c r="P1970" s="6">
        <v>39465.420439814814</v>
      </c>
      <c r="Q1970" s="12" t="s">
        <v>4531</v>
      </c>
      <c r="R1970" s="17" t="s">
        <v>4532</v>
      </c>
      <c r="S1970" s="13" t="s">
        <v>4533</v>
      </c>
      <c r="T1970" s="11"/>
      <c r="U1970" s="10" t="str">
        <f>HYPERLINK("https://pbs.twimg.com/profile_images/957406979936448513/tF4hyXi5.jpg","View")</f>
        <v>View</v>
      </c>
    </row>
    <row r="1971" spans="1:21" ht="51">
      <c r="A1971" s="6">
        <v>43439.071805555555</v>
      </c>
      <c r="B1971" s="7" t="str">
        <f>HYPERLINK("https://twitter.com/Peperufo","@Peperufo")</f>
        <v>@Peperufo</v>
      </c>
      <c r="C1971" s="8" t="s">
        <v>7810</v>
      </c>
      <c r="D1971" s="9" t="s">
        <v>7811</v>
      </c>
      <c r="E1971" s="10" t="str">
        <f>HYPERLINK("https://twitter.com/Peperufo/status/1070116391750156288","1070116391750156288")</f>
        <v>1070116391750156288</v>
      </c>
      <c r="F1971" s="11"/>
      <c r="G1971" s="13" t="s">
        <v>7812</v>
      </c>
      <c r="H1971" s="11"/>
      <c r="I1971" s="14">
        <v>16</v>
      </c>
      <c r="J1971" s="14">
        <v>15</v>
      </c>
      <c r="K1971" s="15" t="str">
        <f t="shared" si="386"/>
        <v>Twitter for Android</v>
      </c>
      <c r="L1971" s="14">
        <v>3025</v>
      </c>
      <c r="M1971" s="14">
        <v>2447</v>
      </c>
      <c r="N1971" s="14">
        <v>48</v>
      </c>
      <c r="O1971" s="16"/>
      <c r="P1971" s="6">
        <v>40041.796076388891</v>
      </c>
      <c r="Q1971" s="12" t="s">
        <v>1803</v>
      </c>
      <c r="R1971" s="17" t="s">
        <v>7815</v>
      </c>
      <c r="S1971" s="11"/>
      <c r="T1971" s="11"/>
      <c r="U1971" s="10" t="str">
        <f>HYPERLINK("https://pbs.twimg.com/profile_images/799629041192042496/3Hj_tPMN.jpg","View")</f>
        <v>View</v>
      </c>
    </row>
    <row r="1972" spans="1:21" ht="51">
      <c r="A1972" s="6">
        <v>43439.071458333332</v>
      </c>
      <c r="B1972" s="7" t="str">
        <f>HYPERLINK("https://twitter.com/losRetuiters","@losRetuiters")</f>
        <v>@losRetuiters</v>
      </c>
      <c r="C1972" s="8" t="s">
        <v>7816</v>
      </c>
      <c r="D1972" s="9" t="s">
        <v>7817</v>
      </c>
      <c r="E1972" s="10" t="str">
        <f>HYPERLINK("https://twitter.com/losRetuiters/status/1070116268399845378","1070116268399845378")</f>
        <v>1070116268399845378</v>
      </c>
      <c r="F1972" s="11"/>
      <c r="G1972" s="11"/>
      <c r="H1972" s="11"/>
      <c r="I1972" s="14">
        <v>0</v>
      </c>
      <c r="J1972" s="14">
        <v>0</v>
      </c>
      <c r="K1972" s="15" t="str">
        <f>HYPERLINK("https://zapier.com/","Zapier.com")</f>
        <v>Zapier.com</v>
      </c>
      <c r="L1972" s="14">
        <v>1</v>
      </c>
      <c r="M1972" s="14">
        <v>0</v>
      </c>
      <c r="N1972" s="14">
        <v>1</v>
      </c>
      <c r="O1972" s="16"/>
      <c r="P1972" s="6">
        <v>43020.506666666668</v>
      </c>
      <c r="Q1972" s="11"/>
      <c r="R1972" s="18"/>
      <c r="S1972" s="11"/>
      <c r="T1972" s="11"/>
      <c r="U1972" s="19" t="s">
        <v>629</v>
      </c>
    </row>
    <row r="1973" spans="1:21" ht="20.399999999999999">
      <c r="A1973" s="6">
        <v>43439.068252314813</v>
      </c>
      <c r="B1973" s="7" t="str">
        <f>HYPERLINK("https://twitter.com/diegocruzblog","@diegocruzblog")</f>
        <v>@diegocruzblog</v>
      </c>
      <c r="C1973" s="8" t="s">
        <v>4528</v>
      </c>
      <c r="D1973" s="9" t="s">
        <v>6432</v>
      </c>
      <c r="E1973" s="10" t="str">
        <f>HYPERLINK("https://twitter.com/diegocruzblog/status/1070115105826922497","1070115105826922497")</f>
        <v>1070115105826922497</v>
      </c>
      <c r="F1973" s="13" t="s">
        <v>6248</v>
      </c>
      <c r="G1973" s="11"/>
      <c r="H1973" s="11"/>
      <c r="I1973" s="14">
        <v>2</v>
      </c>
      <c r="J1973" s="14">
        <v>3</v>
      </c>
      <c r="K1973" s="15" t="str">
        <f>HYPERLINK("http://twitter.com/download/android","Twitter for Android")</f>
        <v>Twitter for Android</v>
      </c>
      <c r="L1973" s="14">
        <v>24191</v>
      </c>
      <c r="M1973" s="14">
        <v>22088</v>
      </c>
      <c r="N1973" s="14">
        <v>538</v>
      </c>
      <c r="O1973" s="16"/>
      <c r="P1973" s="6">
        <v>39465.420439814814</v>
      </c>
      <c r="Q1973" s="12" t="s">
        <v>4531</v>
      </c>
      <c r="R1973" s="17" t="s">
        <v>4532</v>
      </c>
      <c r="S1973" s="13" t="s">
        <v>4533</v>
      </c>
      <c r="T1973" s="11"/>
      <c r="U1973" s="10" t="str">
        <f>HYPERLINK("https://pbs.twimg.com/profile_images/957406979936448513/tF4hyXi5.jpg","View")</f>
        <v>View</v>
      </c>
    </row>
    <row r="1974" spans="1:21" ht="30.6">
      <c r="A1974" s="6">
        <v>43439.065914351857</v>
      </c>
      <c r="B1974" s="7" t="str">
        <f>HYPERLINK("https://twitter.com/InakiBeristain","@InakiBeristain")</f>
        <v>@InakiBeristain</v>
      </c>
      <c r="C1974" s="8" t="s">
        <v>7823</v>
      </c>
      <c r="D1974" s="9" t="s">
        <v>7824</v>
      </c>
      <c r="E1974" s="10" t="str">
        <f>HYPERLINK("https://twitter.com/InakiBeristain/status/1070114259521044481","1070114259521044481")</f>
        <v>1070114259521044481</v>
      </c>
      <c r="F1974" s="12" t="s">
        <v>7825</v>
      </c>
      <c r="G1974" s="11"/>
      <c r="H1974" s="11"/>
      <c r="I1974" s="14">
        <v>0</v>
      </c>
      <c r="J1974" s="14">
        <v>0</v>
      </c>
      <c r="K1974" s="15" t="str">
        <f>HYPERLINK("http://www.tweetedtimes.com","The Tweeted Times")</f>
        <v>The Tweeted Times</v>
      </c>
      <c r="L1974" s="14">
        <v>581</v>
      </c>
      <c r="M1974" s="14">
        <v>877</v>
      </c>
      <c r="N1974" s="14">
        <v>38</v>
      </c>
      <c r="O1974" s="16"/>
      <c r="P1974" s="6">
        <v>40500.361400462964</v>
      </c>
      <c r="Q1974" s="11"/>
      <c r="R1974" s="17" t="s">
        <v>7826</v>
      </c>
      <c r="S1974" s="13" t="s">
        <v>7827</v>
      </c>
      <c r="T1974" s="11"/>
      <c r="U1974" s="10" t="str">
        <f>HYPERLINK("https://pbs.twimg.com/profile_images/1389785946/avatar.jpg","View")</f>
        <v>View</v>
      </c>
    </row>
    <row r="1975" spans="1:21" ht="40.799999999999997">
      <c r="A1975" s="6">
        <v>43439.064699074079</v>
      </c>
      <c r="B1975" s="7" t="str">
        <f>HYPERLINK("https://twitter.com/luisky69","@luisky69")</f>
        <v>@luisky69</v>
      </c>
      <c r="C1975" s="8" t="s">
        <v>6433</v>
      </c>
      <c r="D1975" s="9" t="s">
        <v>6434</v>
      </c>
      <c r="E1975" s="10" t="str">
        <f>HYPERLINK("https://twitter.com/luisky69/status/1070113818393624578","1070113818393624578")</f>
        <v>1070113818393624578</v>
      </c>
      <c r="F1975" s="11"/>
      <c r="G1975" s="11"/>
      <c r="H1975" s="11"/>
      <c r="I1975" s="14">
        <v>0</v>
      </c>
      <c r="J1975" s="14">
        <v>1</v>
      </c>
      <c r="K1975" s="15" t="str">
        <f>HYPERLINK("http://twitter.com/download/android","Twitter for Android")</f>
        <v>Twitter for Android</v>
      </c>
      <c r="L1975" s="14">
        <v>1095</v>
      </c>
      <c r="M1975" s="14">
        <v>1446</v>
      </c>
      <c r="N1975" s="14">
        <v>7</v>
      </c>
      <c r="O1975" s="16"/>
      <c r="P1975" s="6">
        <v>42706.744513888887</v>
      </c>
      <c r="Q1975" s="12" t="s">
        <v>137</v>
      </c>
      <c r="R1975" s="17" t="s">
        <v>6437</v>
      </c>
      <c r="S1975" s="11"/>
      <c r="T1975" s="11"/>
      <c r="U1975" s="10" t="str">
        <f>HYPERLINK("https://pbs.twimg.com/profile_images/824860773348302848/PQv78lLV.jpg","View")</f>
        <v>View</v>
      </c>
    </row>
    <row r="1976" spans="1:21" ht="30.6">
      <c r="A1976" s="6">
        <v>43439.05945601852</v>
      </c>
      <c r="B1976" s="7" t="str">
        <f>HYPERLINK("https://twitter.com/tartarugho","@tartarugho")</f>
        <v>@tartarugho</v>
      </c>
      <c r="C1976" s="8" t="s">
        <v>6441</v>
      </c>
      <c r="D1976" s="9" t="s">
        <v>6442</v>
      </c>
      <c r="E1976" s="10" t="str">
        <f>HYPERLINK("https://twitter.com/tartarugho/status/1070111916633280512","1070111916633280512")</f>
        <v>1070111916633280512</v>
      </c>
      <c r="F1976" s="11"/>
      <c r="G1976" s="11"/>
      <c r="H1976" s="11"/>
      <c r="I1976" s="14">
        <v>0</v>
      </c>
      <c r="J1976" s="14">
        <v>0</v>
      </c>
      <c r="K1976" s="15" t="str">
        <f>HYPERLINK("https://mobile.twitter.com","Twitter Lite")</f>
        <v>Twitter Lite</v>
      </c>
      <c r="L1976" s="14">
        <v>667</v>
      </c>
      <c r="M1976" s="14">
        <v>2887</v>
      </c>
      <c r="N1976" s="14">
        <v>4</v>
      </c>
      <c r="O1976" s="16"/>
      <c r="P1976" s="6">
        <v>40503.42024305556</v>
      </c>
      <c r="Q1976" s="11"/>
      <c r="R1976" s="17" t="s">
        <v>6443</v>
      </c>
      <c r="S1976" s="11"/>
      <c r="T1976" s="11"/>
      <c r="U1976" s="10" t="str">
        <f>HYPERLINK("https://pbs.twimg.com/profile_images/1265118072/Copia_de_682.jpg","View")</f>
        <v>View</v>
      </c>
    </row>
    <row r="1977" spans="1:21" ht="20.399999999999999">
      <c r="A1977" s="6">
        <v>43439.055868055555</v>
      </c>
      <c r="B1977" s="7" t="str">
        <f>HYPERLINK("https://twitter.com/Fennyx101","@Fennyx101")</f>
        <v>@Fennyx101</v>
      </c>
      <c r="C1977" s="8" t="s">
        <v>7835</v>
      </c>
      <c r="D1977" s="9" t="s">
        <v>7836</v>
      </c>
      <c r="E1977" s="10" t="str">
        <f>HYPERLINK("https://twitter.com/Fennyx101/status/1070110618953371648","1070110618953371648")</f>
        <v>1070110618953371648</v>
      </c>
      <c r="F1977" s="11"/>
      <c r="G1977" s="11"/>
      <c r="H1977" s="11"/>
      <c r="I1977" s="14">
        <v>0</v>
      </c>
      <c r="J1977" s="14">
        <v>0</v>
      </c>
      <c r="K1977" s="15" t="str">
        <f>HYPERLINK("http://twitter.com/download/android","Twitter for Android")</f>
        <v>Twitter for Android</v>
      </c>
      <c r="L1977" s="14">
        <v>91</v>
      </c>
      <c r="M1977" s="14">
        <v>206</v>
      </c>
      <c r="N1977" s="14">
        <v>1</v>
      </c>
      <c r="O1977" s="16"/>
      <c r="P1977" s="6">
        <v>41754.551851851851</v>
      </c>
      <c r="Q1977" s="12" t="s">
        <v>7839</v>
      </c>
      <c r="R1977" s="17" t="s">
        <v>7840</v>
      </c>
      <c r="S1977" s="13" t="s">
        <v>7841</v>
      </c>
      <c r="T1977" s="11"/>
      <c r="U1977" s="10" t="str">
        <f>HYPERLINK("https://pbs.twimg.com/profile_images/1052887341017325568/be40g6iX.jpg","View")</f>
        <v>View</v>
      </c>
    </row>
    <row r="1978" spans="1:21" ht="81.599999999999994">
      <c r="A1978" s="6">
        <v>43439.042546296296</v>
      </c>
      <c r="B1978" s="7" t="str">
        <f>HYPERLINK("https://twitter.com/fernandoacuna_","@fernandoacuna_")</f>
        <v>@fernandoacuna_</v>
      </c>
      <c r="C1978" s="8" t="s">
        <v>6446</v>
      </c>
      <c r="D1978" s="9" t="s">
        <v>6448</v>
      </c>
      <c r="E1978" s="10" t="str">
        <f>HYPERLINK("https://twitter.com/fernandoacuna_/status/1070105789606625280","1070105789606625280")</f>
        <v>1070105789606625280</v>
      </c>
      <c r="F1978" s="12" t="s">
        <v>6449</v>
      </c>
      <c r="G1978" s="11"/>
      <c r="H1978" s="11"/>
      <c r="I1978" s="14">
        <v>0</v>
      </c>
      <c r="J1978" s="14">
        <v>1</v>
      </c>
      <c r="K1978" s="15" t="str">
        <f t="shared" ref="K1978:K1979" si="387">HYPERLINK("http://twitter.com","Twitter Web Client")</f>
        <v>Twitter Web Client</v>
      </c>
      <c r="L1978" s="14">
        <v>107</v>
      </c>
      <c r="M1978" s="14">
        <v>201</v>
      </c>
      <c r="N1978" s="14">
        <v>2</v>
      </c>
      <c r="O1978" s="16"/>
      <c r="P1978" s="6">
        <v>43234.600740740745</v>
      </c>
      <c r="Q1978" s="11"/>
      <c r="R1978" s="17" t="s">
        <v>6452</v>
      </c>
      <c r="S1978" s="11"/>
      <c r="T1978" s="11"/>
      <c r="U1978" s="10" t="str">
        <f>HYPERLINK("https://pbs.twimg.com/profile_images/996013597879873536/Ww532IGO.jpg","View")</f>
        <v>View</v>
      </c>
    </row>
    <row r="1979" spans="1:21" ht="20.399999999999999">
      <c r="A1979" s="6">
        <v>43439.040300925924</v>
      </c>
      <c r="B1979" s="7" t="str">
        <f>HYPERLINK("https://twitter.com/_kid0j","@_kid0j")</f>
        <v>@_kid0j</v>
      </c>
      <c r="C1979" s="8" t="s">
        <v>6453</v>
      </c>
      <c r="D1979" s="9" t="s">
        <v>6454</v>
      </c>
      <c r="E1979" s="10" t="str">
        <f>HYPERLINK("https://twitter.com/_kid0j/status/1070104977811611648","1070104977811611648")</f>
        <v>1070104977811611648</v>
      </c>
      <c r="F1979" s="11"/>
      <c r="G1979" s="13" t="s">
        <v>6455</v>
      </c>
      <c r="H1979" s="11"/>
      <c r="I1979" s="14">
        <v>3</v>
      </c>
      <c r="J1979" s="14">
        <v>6</v>
      </c>
      <c r="K1979" s="15" t="str">
        <f t="shared" si="387"/>
        <v>Twitter Web Client</v>
      </c>
      <c r="L1979" s="14">
        <v>102</v>
      </c>
      <c r="M1979" s="14">
        <v>113</v>
      </c>
      <c r="N1979" s="14">
        <v>0</v>
      </c>
      <c r="O1979" s="16"/>
      <c r="P1979" s="6">
        <v>42756.638495370367</v>
      </c>
      <c r="Q1979" s="11"/>
      <c r="R1979" s="17" t="s">
        <v>6456</v>
      </c>
      <c r="S1979" s="11"/>
      <c r="T1979" s="11"/>
      <c r="U1979" s="10" t="str">
        <f>HYPERLINK("https://pbs.twimg.com/profile_images/1057986458252988416/RlQ5jFNb.jpg","View")</f>
        <v>View</v>
      </c>
    </row>
    <row r="1980" spans="1:21" ht="51">
      <c r="A1980" s="6">
        <v>43439.037812499999</v>
      </c>
      <c r="B1980" s="7" t="str">
        <f>HYPERLINK("https://twitter.com/ivandm_79","@ivandm_79")</f>
        <v>@ivandm_79</v>
      </c>
      <c r="C1980" s="8" t="s">
        <v>6459</v>
      </c>
      <c r="D1980" s="9" t="s">
        <v>6460</v>
      </c>
      <c r="E1980" s="10" t="str">
        <f>HYPERLINK("https://twitter.com/ivandm_79/status/1070104075583307777","1070104075583307777")</f>
        <v>1070104075583307777</v>
      </c>
      <c r="F1980" s="13" t="s">
        <v>4530</v>
      </c>
      <c r="G1980" s="11"/>
      <c r="H1980" s="11"/>
      <c r="I1980" s="14">
        <v>1</v>
      </c>
      <c r="J1980" s="14">
        <v>0</v>
      </c>
      <c r="K1980" s="15" t="str">
        <f t="shared" ref="K1980:K1981" si="388">HYPERLINK("http://twitter.com/download/android","Twitter for Android")</f>
        <v>Twitter for Android</v>
      </c>
      <c r="L1980" s="14">
        <v>356</v>
      </c>
      <c r="M1980" s="14">
        <v>1977</v>
      </c>
      <c r="N1980" s="14">
        <v>8</v>
      </c>
      <c r="O1980" s="16"/>
      <c r="P1980" s="6">
        <v>40940.085185185184</v>
      </c>
      <c r="Q1980" s="12" t="s">
        <v>3707</v>
      </c>
      <c r="R1980" s="17" t="s">
        <v>6462</v>
      </c>
      <c r="S1980" s="11"/>
      <c r="T1980" s="11"/>
      <c r="U1980" s="10" t="str">
        <f>HYPERLINK("https://pbs.twimg.com/profile_images/764514415668502528/0PKR6kAm.jpg","View")</f>
        <v>View</v>
      </c>
    </row>
    <row r="1981" spans="1:21" ht="20.399999999999999">
      <c r="A1981" s="6">
        <v>43439.036805555559</v>
      </c>
      <c r="B1981" s="7" t="str">
        <f>HYPERLINK("https://twitter.com/Ifg2424","@Ifg2424")</f>
        <v>@Ifg2424</v>
      </c>
      <c r="C1981" s="8" t="s">
        <v>7851</v>
      </c>
      <c r="D1981" s="9" t="s">
        <v>7542</v>
      </c>
      <c r="E1981" s="10" t="str">
        <f>HYPERLINK("https://twitter.com/Ifg2424/status/1070103709701599232","1070103709701599232")</f>
        <v>1070103709701599232</v>
      </c>
      <c r="F1981" s="13" t="s">
        <v>7852</v>
      </c>
      <c r="G1981" s="11"/>
      <c r="H1981" s="11"/>
      <c r="I1981" s="14">
        <v>1</v>
      </c>
      <c r="J1981" s="14">
        <v>0</v>
      </c>
      <c r="K1981" s="15" t="str">
        <f t="shared" si="388"/>
        <v>Twitter for Android</v>
      </c>
      <c r="L1981" s="14">
        <v>1490</v>
      </c>
      <c r="M1981" s="14">
        <v>3304</v>
      </c>
      <c r="N1981" s="14">
        <v>1</v>
      </c>
      <c r="O1981" s="16"/>
      <c r="P1981" s="6">
        <v>42886.085115740745</v>
      </c>
      <c r="Q1981" s="11"/>
      <c r="R1981" s="18"/>
      <c r="S1981" s="11"/>
      <c r="T1981" s="11"/>
      <c r="U1981" s="10" t="str">
        <f>HYPERLINK("https://pbs.twimg.com/profile_images/869712003211952130/p1_B81ZT.jpg","View")</f>
        <v>View</v>
      </c>
    </row>
    <row r="1982" spans="1:21" ht="40.799999999999997">
      <c r="A1982" s="6">
        <v>43439.036157407405</v>
      </c>
      <c r="B1982" s="7" t="str">
        <f>HYPERLINK("https://twitter.com/PdeSamos","@PdeSamos")</f>
        <v>@PdeSamos</v>
      </c>
      <c r="C1982" s="8" t="s">
        <v>794</v>
      </c>
      <c r="D1982" s="9" t="s">
        <v>7853</v>
      </c>
      <c r="E1982" s="10" t="str">
        <f>HYPERLINK("https://twitter.com/PdeSamos/status/1070103474732453889","1070103474732453889")</f>
        <v>1070103474732453889</v>
      </c>
      <c r="F1982" s="13" t="s">
        <v>7854</v>
      </c>
      <c r="G1982" s="11"/>
      <c r="H1982" s="11"/>
      <c r="I1982" s="14">
        <v>0</v>
      </c>
      <c r="J1982" s="14">
        <v>0</v>
      </c>
      <c r="K1982" s="15" t="str">
        <f>HYPERLINK("http://republico.ddns.net","App Libertad PdeSamos")</f>
        <v>App Libertad PdeSamos</v>
      </c>
      <c r="L1982" s="14">
        <v>5398</v>
      </c>
      <c r="M1982" s="14">
        <v>5441</v>
      </c>
      <c r="N1982" s="14">
        <v>12</v>
      </c>
      <c r="O1982" s="16"/>
      <c r="P1982" s="6">
        <v>42889.820567129631</v>
      </c>
      <c r="Q1982" s="12" t="s">
        <v>800</v>
      </c>
      <c r="R1982" s="17" t="s">
        <v>801</v>
      </c>
      <c r="S1982" s="11"/>
      <c r="T1982" s="11"/>
      <c r="U1982" s="10" t="str">
        <f>HYPERLINK("https://pbs.twimg.com/profile_images/871063742003511296/xK2IYbrO.jpg","View")</f>
        <v>View</v>
      </c>
    </row>
    <row r="1983" spans="1:21" ht="91.8">
      <c r="A1983" s="6">
        <v>43439.026874999996</v>
      </c>
      <c r="B1983" s="7" t="str">
        <f>HYPERLINK("https://twitter.com/estoycontigo__","@estoycontigo__")</f>
        <v>@estoycontigo__</v>
      </c>
      <c r="C1983" s="8" t="s">
        <v>7855</v>
      </c>
      <c r="D1983" s="9" t="s">
        <v>7856</v>
      </c>
      <c r="E1983" s="10" t="str">
        <f>HYPERLINK("https://twitter.com/estoycontigo__/status/1070100111445901313","1070100111445901313")</f>
        <v>1070100111445901313</v>
      </c>
      <c r="F1983" s="12" t="s">
        <v>7857</v>
      </c>
      <c r="G1983" s="11"/>
      <c r="H1983" s="11"/>
      <c r="I1983" s="14">
        <v>4</v>
      </c>
      <c r="J1983" s="14">
        <v>7</v>
      </c>
      <c r="K1983" s="15" t="str">
        <f>HYPERLINK("http://twitter.com/download/android","Twitter for Android")</f>
        <v>Twitter for Android</v>
      </c>
      <c r="L1983" s="14">
        <v>2759</v>
      </c>
      <c r="M1983" s="14">
        <v>2160</v>
      </c>
      <c r="N1983" s="14">
        <v>36</v>
      </c>
      <c r="O1983" s="16"/>
      <c r="P1983" s="6">
        <v>42203.452002314814</v>
      </c>
      <c r="Q1983" s="12" t="s">
        <v>7858</v>
      </c>
      <c r="R1983" s="17" t="s">
        <v>7859</v>
      </c>
      <c r="S1983" s="11"/>
      <c r="T1983" s="11"/>
      <c r="U1983" s="10" t="str">
        <f>HYPERLINK("https://pbs.twimg.com/profile_images/805391848323907584/e35bzUTj.jpg","View")</f>
        <v>View</v>
      </c>
    </row>
    <row r="1984" spans="1:21" ht="71.400000000000006">
      <c r="A1984" s="6">
        <v>43439.022372685184</v>
      </c>
      <c r="B1984" s="7" t="str">
        <f>HYPERLINK("https://twitter.com/jmguzmanocon","@jmguzmanocon")</f>
        <v>@jmguzmanocon</v>
      </c>
      <c r="C1984" s="8" t="s">
        <v>71</v>
      </c>
      <c r="D1984" s="9" t="s">
        <v>6463</v>
      </c>
      <c r="E1984" s="10" t="str">
        <f>HYPERLINK("https://twitter.com/jmguzmanocon/status/1070098478049705984","1070098478049705984")</f>
        <v>1070098478049705984</v>
      </c>
      <c r="F1984" s="13" t="s">
        <v>6464</v>
      </c>
      <c r="G1984" s="11"/>
      <c r="H1984" s="11"/>
      <c r="I1984" s="14">
        <v>0</v>
      </c>
      <c r="J1984" s="14">
        <v>0</v>
      </c>
      <c r="K1984" s="15" t="str">
        <f>HYPERLINK("http://twitter.com","Twitter Web Client")</f>
        <v>Twitter Web Client</v>
      </c>
      <c r="L1984" s="14">
        <v>47</v>
      </c>
      <c r="M1984" s="14">
        <v>418</v>
      </c>
      <c r="N1984" s="14">
        <v>0</v>
      </c>
      <c r="O1984" s="16"/>
      <c r="P1984" s="6">
        <v>40881.688437500001</v>
      </c>
      <c r="Q1984" s="11"/>
      <c r="R1984" s="18"/>
      <c r="S1984" s="11"/>
      <c r="T1984" s="11"/>
      <c r="U1984" s="10" t="str">
        <f>HYPERLINK("https://pbs.twimg.com/profile_images/2573244350/40rcwQjo","View")</f>
        <v>View</v>
      </c>
    </row>
    <row r="1985" spans="1:21" ht="51">
      <c r="A1985" s="6">
        <v>43439.018726851849</v>
      </c>
      <c r="B1985" s="7" t="str">
        <f>HYPERLINK("https://twitter.com/sixtobarbero","@sixtobarbero")</f>
        <v>@sixtobarbero</v>
      </c>
      <c r="C1985" s="8" t="s">
        <v>6470</v>
      </c>
      <c r="D1985" s="9" t="s">
        <v>6471</v>
      </c>
      <c r="E1985" s="10" t="str">
        <f>HYPERLINK("https://twitter.com/sixtobarbero/status/1070097156000886784","1070097156000886784")</f>
        <v>1070097156000886784</v>
      </c>
      <c r="F1985" s="11"/>
      <c r="G1985" s="13" t="s">
        <v>6472</v>
      </c>
      <c r="H1985" s="11"/>
      <c r="I1985" s="14">
        <v>3</v>
      </c>
      <c r="J1985" s="14">
        <v>4</v>
      </c>
      <c r="K1985" s="15" t="str">
        <f>HYPERLINK("http://twitter.com/download/android","Twitter for Android")</f>
        <v>Twitter for Android</v>
      </c>
      <c r="L1985" s="14">
        <v>536</v>
      </c>
      <c r="M1985" s="14">
        <v>684</v>
      </c>
      <c r="N1985" s="14">
        <v>7</v>
      </c>
      <c r="O1985" s="16"/>
      <c r="P1985" s="6">
        <v>42202.50403935185</v>
      </c>
      <c r="Q1985" s="11"/>
      <c r="R1985" s="17" t="s">
        <v>6475</v>
      </c>
      <c r="S1985" s="11"/>
      <c r="T1985" s="11"/>
      <c r="U1985" s="10" t="str">
        <f>HYPERLINK("https://pbs.twimg.com/profile_images/822459720585871360/5BOMkscr.jpg","View")</f>
        <v>View</v>
      </c>
    </row>
    <row r="1986" spans="1:21" ht="51">
      <c r="A1986" s="6">
        <v>43439.017858796295</v>
      </c>
      <c r="B1986" s="7" t="str">
        <f>HYPERLINK("https://twitter.com/PensadorAdelant","@PensadorAdelant")</f>
        <v>@PensadorAdelant</v>
      </c>
      <c r="C1986" s="8" t="s">
        <v>3659</v>
      </c>
      <c r="D1986" s="9" t="s">
        <v>6476</v>
      </c>
      <c r="E1986" s="10" t="str">
        <f>HYPERLINK("https://twitter.com/PensadorAdelant/status/1070096842996760576","1070096842996760576")</f>
        <v>1070096842996760576</v>
      </c>
      <c r="F1986" s="11"/>
      <c r="G1986" s="11"/>
      <c r="H1986" s="11"/>
      <c r="I1986" s="14">
        <v>2</v>
      </c>
      <c r="J1986" s="14">
        <v>4</v>
      </c>
      <c r="K1986" s="15" t="str">
        <f>HYPERLINK("http://twitter.com/download/iphone","Twitter for iPhone")</f>
        <v>Twitter for iPhone</v>
      </c>
      <c r="L1986" s="14">
        <v>18494</v>
      </c>
      <c r="M1986" s="14">
        <v>18028</v>
      </c>
      <c r="N1986" s="14">
        <v>95</v>
      </c>
      <c r="O1986" s="16"/>
      <c r="P1986" s="6">
        <v>41093.922777777778</v>
      </c>
      <c r="Q1986" s="12" t="s">
        <v>29</v>
      </c>
      <c r="R1986" s="17" t="s">
        <v>3661</v>
      </c>
      <c r="S1986" s="13" t="s">
        <v>3662</v>
      </c>
      <c r="T1986" s="11"/>
      <c r="U1986" s="10" t="str">
        <f>HYPERLINK("https://pbs.twimg.com/profile_images/2721916731/2cb0add7045b90655de1e522d1ae4057.jpeg","View")</f>
        <v>View</v>
      </c>
    </row>
    <row r="1987" spans="1:21" ht="30.6">
      <c r="A1987" s="6">
        <v>43439.016041666662</v>
      </c>
      <c r="B1987" s="7" t="str">
        <f>HYPERLINK("https://twitter.com/elverazimperti2","@elverazimperti2")</f>
        <v>@elverazimperti2</v>
      </c>
      <c r="C1987" s="8" t="s">
        <v>6477</v>
      </c>
      <c r="D1987" s="9" t="s">
        <v>6478</v>
      </c>
      <c r="E1987" s="10" t="str">
        <f>HYPERLINK("https://twitter.com/elverazimperti2/status/1070096185548070913","1070096185548070913")</f>
        <v>1070096185548070913</v>
      </c>
      <c r="F1987" s="11"/>
      <c r="G1987" s="11"/>
      <c r="H1987" s="11"/>
      <c r="I1987" s="14">
        <v>0</v>
      </c>
      <c r="J1987" s="14">
        <v>0</v>
      </c>
      <c r="K1987" s="15" t="str">
        <f>HYPERLINK("http://twitter.com","Twitter Web Client")</f>
        <v>Twitter Web Client</v>
      </c>
      <c r="L1987" s="14">
        <v>13</v>
      </c>
      <c r="M1987" s="14">
        <v>39</v>
      </c>
      <c r="N1987" s="14">
        <v>1</v>
      </c>
      <c r="O1987" s="16"/>
      <c r="P1987" s="6">
        <v>42152.840995370367</v>
      </c>
      <c r="Q1987" s="11"/>
      <c r="R1987" s="17" t="s">
        <v>6479</v>
      </c>
      <c r="S1987" s="11"/>
      <c r="T1987" s="11"/>
      <c r="U1987" s="10" t="str">
        <f>HYPERLINK("https://pbs.twimg.com/profile_images/604008388012417024/Q_ROhm8E.jpg","View")</f>
        <v>View</v>
      </c>
    </row>
    <row r="1988" spans="1:21" ht="40.799999999999997">
      <c r="A1988" s="6">
        <v>43439.014305555553</v>
      </c>
      <c r="B1988" s="7" t="str">
        <f>HYPERLINK("https://twitter.com/PICETER","@PICETER")</f>
        <v>@PICETER</v>
      </c>
      <c r="C1988" s="8" t="s">
        <v>7870</v>
      </c>
      <c r="D1988" s="9" t="s">
        <v>7871</v>
      </c>
      <c r="E1988" s="10" t="str">
        <f>HYPERLINK("https://twitter.com/PICETER/status/1070095553642618880","1070095553642618880")</f>
        <v>1070095553642618880</v>
      </c>
      <c r="F1988" s="11"/>
      <c r="G1988" s="11"/>
      <c r="H1988" s="11"/>
      <c r="I1988" s="14">
        <v>0</v>
      </c>
      <c r="J1988" s="14">
        <v>3</v>
      </c>
      <c r="K1988" s="15" t="str">
        <f>HYPERLINK("http://twitter.com/download/android","Twitter for Android")</f>
        <v>Twitter for Android</v>
      </c>
      <c r="L1988" s="14">
        <v>509</v>
      </c>
      <c r="M1988" s="14">
        <v>614</v>
      </c>
      <c r="N1988" s="14">
        <v>1</v>
      </c>
      <c r="O1988" s="16"/>
      <c r="P1988" s="6">
        <v>40972.663148148145</v>
      </c>
      <c r="Q1988" s="12" t="s">
        <v>7872</v>
      </c>
      <c r="R1988" s="17" t="s">
        <v>7873</v>
      </c>
      <c r="S1988" s="13" t="s">
        <v>7874</v>
      </c>
      <c r="T1988" s="11"/>
      <c r="U1988" s="10" t="str">
        <f>HYPERLINK("https://pbs.twimg.com/profile_images/1930085925/tormenta_1.jpg","View")</f>
        <v>View</v>
      </c>
    </row>
    <row r="1989" spans="1:21" ht="40.799999999999997">
      <c r="A1989" s="6">
        <v>43439.014120370368</v>
      </c>
      <c r="B1989" s="7" t="str">
        <f>HYPERLINK("https://twitter.com/AdeSiracusa","@AdeSiracusa")</f>
        <v>@AdeSiracusa</v>
      </c>
      <c r="C1989" s="8" t="s">
        <v>79</v>
      </c>
      <c r="D1989" s="9" t="s">
        <v>7877</v>
      </c>
      <c r="E1989" s="10" t="str">
        <f>HYPERLINK("https://twitter.com/AdeSiracusa/status/1070095489360650240","1070095489360650240")</f>
        <v>1070095489360650240</v>
      </c>
      <c r="F1989" s="13" t="s">
        <v>7878</v>
      </c>
      <c r="G1989" s="11"/>
      <c r="H1989" s="11"/>
      <c r="I1989" s="14">
        <v>0</v>
      </c>
      <c r="J1989" s="14">
        <v>0</v>
      </c>
      <c r="K1989" s="15" t="str">
        <f>HYPERLINK("http://www.republicosvenezuela.com/","AdeSiracusa")</f>
        <v>AdeSiracusa</v>
      </c>
      <c r="L1989" s="14">
        <v>4091</v>
      </c>
      <c r="M1989" s="14">
        <v>4122</v>
      </c>
      <c r="N1989" s="14">
        <v>12</v>
      </c>
      <c r="O1989" s="16"/>
      <c r="P1989" s="6">
        <v>42958.576388888891</v>
      </c>
      <c r="Q1989" s="12" t="s">
        <v>87</v>
      </c>
      <c r="R1989" s="17" t="s">
        <v>88</v>
      </c>
      <c r="S1989" s="11"/>
      <c r="T1989" s="11"/>
      <c r="U1989" s="10" t="str">
        <f>HYPERLINK("https://pbs.twimg.com/profile_images/895978354591105024/x2wNXrPl.jpg","View")</f>
        <v>View</v>
      </c>
    </row>
    <row r="1990" spans="1:21" ht="51">
      <c r="A1990" s="6">
        <v>43439.009421296301</v>
      </c>
      <c r="B1990" s="7" t="str">
        <f>HYPERLINK("https://twitter.com/JavierArocaA","@JavierArocaA")</f>
        <v>@JavierArocaA</v>
      </c>
      <c r="C1990" s="8" t="s">
        <v>7879</v>
      </c>
      <c r="D1990" s="9" t="s">
        <v>7880</v>
      </c>
      <c r="E1990" s="10" t="str">
        <f>HYPERLINK("https://twitter.com/JavierArocaA/status/1070093787328905216","1070093787328905216")</f>
        <v>1070093787328905216</v>
      </c>
      <c r="F1990" s="12" t="s">
        <v>7883</v>
      </c>
      <c r="G1990" s="11"/>
      <c r="H1990" s="11"/>
      <c r="I1990" s="14">
        <v>176</v>
      </c>
      <c r="J1990" s="14">
        <v>350</v>
      </c>
      <c r="K1990" s="15" t="str">
        <f>HYPERLINK("http://twitter.com/download/android","Twitter for Android")</f>
        <v>Twitter for Android</v>
      </c>
      <c r="L1990" s="14">
        <v>46102</v>
      </c>
      <c r="M1990" s="14">
        <v>94</v>
      </c>
      <c r="N1990" s="14">
        <v>534</v>
      </c>
      <c r="O1990" s="16"/>
      <c r="P1990" s="6">
        <v>40852.560254629629</v>
      </c>
      <c r="Q1990" s="12" t="s">
        <v>7885</v>
      </c>
      <c r="R1990" s="17" t="s">
        <v>7886</v>
      </c>
      <c r="S1990" s="11"/>
      <c r="T1990" s="11"/>
      <c r="U1990" s="10" t="str">
        <f>HYPERLINK("https://pbs.twimg.com/profile_images/549347461496860674/06AzNeUv.jpeg","View")</f>
        <v>View</v>
      </c>
    </row>
    <row r="1991" spans="1:21" ht="30.6">
      <c r="A1991" s="6">
        <v>43439.003194444449</v>
      </c>
      <c r="B1991" s="7" t="str">
        <f>HYPERLINK("https://twitter.com/cuin1425","@cuin1425")</f>
        <v>@cuin1425</v>
      </c>
      <c r="C1991" s="8" t="s">
        <v>2241</v>
      </c>
      <c r="D1991" s="9" t="s">
        <v>7888</v>
      </c>
      <c r="E1991" s="10" t="str">
        <f>HYPERLINK("https://twitter.com/cuin1425/status/1070091527332990976","1070091527332990976")</f>
        <v>1070091527332990976</v>
      </c>
      <c r="F1991" s="13" t="s">
        <v>7889</v>
      </c>
      <c r="G1991" s="11"/>
      <c r="H1991" s="11"/>
      <c r="I1991" s="14">
        <v>0</v>
      </c>
      <c r="J1991" s="14">
        <v>0</v>
      </c>
      <c r="K1991" s="15" t="str">
        <f t="shared" ref="K1991:K1992" si="389">HYPERLINK("http://www.facebook.com/twitter","Facebook")</f>
        <v>Facebook</v>
      </c>
      <c r="L1991" s="14">
        <v>580</v>
      </c>
      <c r="M1991" s="14">
        <v>977</v>
      </c>
      <c r="N1991" s="14">
        <v>13</v>
      </c>
      <c r="O1991" s="16"/>
      <c r="P1991" s="6">
        <v>40274.437928240739</v>
      </c>
      <c r="Q1991" s="12" t="s">
        <v>1005</v>
      </c>
      <c r="R1991" s="17" t="s">
        <v>2247</v>
      </c>
      <c r="S1991" s="11"/>
      <c r="T1991" s="11"/>
      <c r="U1991" s="10" t="str">
        <f>HYPERLINK("https://pbs.twimg.com/profile_images/820055555305832448/qbgSwEuX.jpg","View")</f>
        <v>View</v>
      </c>
    </row>
    <row r="1992" spans="1:21" ht="20.399999999999999">
      <c r="A1992" s="6">
        <v>43438.999236111107</v>
      </c>
      <c r="B1992" s="7" t="str">
        <f>HYPERLINK("https://twitter.com/CanariasSingle","@CanariasSingle")</f>
        <v>@CanariasSingle</v>
      </c>
      <c r="C1992" s="8" t="s">
        <v>7893</v>
      </c>
      <c r="D1992" s="9" t="s">
        <v>4445</v>
      </c>
      <c r="E1992" s="10" t="str">
        <f>HYPERLINK("https://twitter.com/CanariasSingle/status/1070090094525190146","1070090094525190146")</f>
        <v>1070090094525190146</v>
      </c>
      <c r="F1992" s="13" t="s">
        <v>4490</v>
      </c>
      <c r="G1992" s="11"/>
      <c r="H1992" s="11"/>
      <c r="I1992" s="14">
        <v>0</v>
      </c>
      <c r="J1992" s="14">
        <v>0</v>
      </c>
      <c r="K1992" s="15" t="str">
        <f t="shared" si="389"/>
        <v>Facebook</v>
      </c>
      <c r="L1992" s="14">
        <v>144</v>
      </c>
      <c r="M1992" s="14">
        <v>385</v>
      </c>
      <c r="N1992" s="14">
        <v>6</v>
      </c>
      <c r="O1992" s="16"/>
      <c r="P1992" s="6">
        <v>41151.066990740743</v>
      </c>
      <c r="Q1992" s="11"/>
      <c r="R1992" s="18"/>
      <c r="S1992" s="13" t="s">
        <v>7895</v>
      </c>
      <c r="T1992" s="11"/>
      <c r="U1992" s="10" t="str">
        <f>HYPERLINK("https://pbs.twimg.com/profile_images/3087987941/8d018f2dddfc223a2658ae265adcc53b.png","View")</f>
        <v>View</v>
      </c>
    </row>
    <row r="1993" spans="1:21" ht="30.6">
      <c r="A1993" s="6">
        <v>43438.999131944445</v>
      </c>
      <c r="B1993" s="7" t="str">
        <f>HYPERLINK("https://twitter.com/tatarlak","@tatarlak")</f>
        <v>@tatarlak</v>
      </c>
      <c r="C1993" s="8" t="s">
        <v>1937</v>
      </c>
      <c r="D1993" s="9" t="s">
        <v>6485</v>
      </c>
      <c r="E1993" s="10" t="str">
        <f>HYPERLINK("https://twitter.com/tatarlak/status/1070090056684265473","1070090056684265473")</f>
        <v>1070090056684265473</v>
      </c>
      <c r="F1993" s="11"/>
      <c r="G1993" s="11"/>
      <c r="H1993" s="11"/>
      <c r="I1993" s="14">
        <v>3</v>
      </c>
      <c r="J1993" s="14">
        <v>3</v>
      </c>
      <c r="K1993" s="15" t="str">
        <f>HYPERLINK("http://twitter.com/download/android","Twitter for Android")</f>
        <v>Twitter for Android</v>
      </c>
      <c r="L1993" s="14">
        <v>3540</v>
      </c>
      <c r="M1993" s="14">
        <v>4645</v>
      </c>
      <c r="N1993" s="14">
        <v>173</v>
      </c>
      <c r="O1993" s="16"/>
      <c r="P1993" s="6">
        <v>39942.875520833331</v>
      </c>
      <c r="Q1993" s="12" t="s">
        <v>1940</v>
      </c>
      <c r="R1993" s="17" t="s">
        <v>1941</v>
      </c>
      <c r="S1993" s="13" t="s">
        <v>1942</v>
      </c>
      <c r="T1993" s="11"/>
      <c r="U1993" s="10" t="str">
        <f>HYPERLINK("https://pbs.twimg.com/profile_images/828645700825182209/EyWSNwMu.jpg","View")</f>
        <v>View</v>
      </c>
    </row>
    <row r="1994" spans="1:21" ht="91.8">
      <c r="A1994" s="6">
        <v>43438.998437499999</v>
      </c>
      <c r="B1994" s="7" t="str">
        <f>HYPERLINK("https://twitter.com/jonariz","@jonariz")</f>
        <v>@jonariz</v>
      </c>
      <c r="C1994" s="8" t="s">
        <v>6212</v>
      </c>
      <c r="D1994" s="9" t="s">
        <v>6493</v>
      </c>
      <c r="E1994" s="10" t="str">
        <f>HYPERLINK("https://twitter.com/jonariz/status/1070089806972108805","1070089806972108805")</f>
        <v>1070089806972108805</v>
      </c>
      <c r="F1994" s="13" t="s">
        <v>6494</v>
      </c>
      <c r="G1994" s="11"/>
      <c r="H1994" s="11"/>
      <c r="I1994" s="14">
        <v>4</v>
      </c>
      <c r="J1994" s="14">
        <v>11</v>
      </c>
      <c r="K1994" s="15" t="str">
        <f>HYPERLINK("http://twitter.com/download/iphone","Twitter for iPhone")</f>
        <v>Twitter for iPhone</v>
      </c>
      <c r="L1994" s="14">
        <v>4106</v>
      </c>
      <c r="M1994" s="14">
        <v>1524</v>
      </c>
      <c r="N1994" s="14">
        <v>144</v>
      </c>
      <c r="O1994" s="19" t="s">
        <v>42</v>
      </c>
      <c r="P1994" s="6">
        <v>40206.537199074075</v>
      </c>
      <c r="Q1994" s="12" t="s">
        <v>60</v>
      </c>
      <c r="R1994" s="17" t="s">
        <v>6215</v>
      </c>
      <c r="S1994" s="13" t="s">
        <v>6216</v>
      </c>
      <c r="T1994" s="11"/>
      <c r="U1994" s="10" t="str">
        <f>HYPERLINK("https://pbs.twimg.com/profile_images/954440477453012994/Z5nrDam8.jpg","View")</f>
        <v>View</v>
      </c>
    </row>
    <row r="1995" spans="1:21" ht="40.799999999999997">
      <c r="A1995" s="6">
        <v>43438.993136574078</v>
      </c>
      <c r="B1995" s="7" t="str">
        <f>HYPERLINK("https://twitter.com/lextresabogados","@lextresabogados")</f>
        <v>@lextresabogados</v>
      </c>
      <c r="C1995" s="8" t="s">
        <v>26</v>
      </c>
      <c r="D1995" s="9" t="s">
        <v>7899</v>
      </c>
      <c r="E1995" s="10" t="str">
        <f>HYPERLINK("https://twitter.com/lextresabogados/status/1070087882621288454","1070087882621288454")</f>
        <v>1070087882621288454</v>
      </c>
      <c r="F1995" s="11"/>
      <c r="G1995" s="13" t="s">
        <v>7900</v>
      </c>
      <c r="H1995" s="11"/>
      <c r="I1995" s="14">
        <v>0</v>
      </c>
      <c r="J1995" s="14">
        <v>0</v>
      </c>
      <c r="K1995" s="15" t="str">
        <f>HYPERLINK("http://35.180.36.179","botize nueva")</f>
        <v>botize nueva</v>
      </c>
      <c r="L1995" s="14">
        <v>2912</v>
      </c>
      <c r="M1995" s="14">
        <v>3525</v>
      </c>
      <c r="N1995" s="14">
        <v>26</v>
      </c>
      <c r="O1995" s="16"/>
      <c r="P1995" s="6">
        <v>42880.770949074074</v>
      </c>
      <c r="Q1995" s="12" t="s">
        <v>35</v>
      </c>
      <c r="R1995" s="17" t="s">
        <v>36</v>
      </c>
      <c r="S1995" s="13" t="s">
        <v>37</v>
      </c>
      <c r="T1995" s="11"/>
      <c r="U1995" s="10" t="str">
        <f>HYPERLINK("https://pbs.twimg.com/profile_images/1068056978679898113/YnjKwiVy.jpg","View")</f>
        <v>View</v>
      </c>
    </row>
    <row r="1996" spans="1:21" ht="20.399999999999999">
      <c r="A1996" s="6">
        <v>43438.992349537039</v>
      </c>
      <c r="B1996" s="7" t="str">
        <f>HYPERLINK("https://twitter.com/lanzarotejesus","@lanzarotejesus")</f>
        <v>@lanzarotejesus</v>
      </c>
      <c r="C1996" s="8" t="s">
        <v>7903</v>
      </c>
      <c r="D1996" s="9" t="s">
        <v>7904</v>
      </c>
      <c r="E1996" s="10" t="str">
        <f>HYPERLINK("https://twitter.com/lanzarotejesus/status/1070087599887400960","1070087599887400960")</f>
        <v>1070087599887400960</v>
      </c>
      <c r="F1996" s="13" t="s">
        <v>7605</v>
      </c>
      <c r="G1996" s="11"/>
      <c r="H1996" s="11"/>
      <c r="I1996" s="14">
        <v>1</v>
      </c>
      <c r="J1996" s="14">
        <v>0</v>
      </c>
      <c r="K1996" s="15" t="str">
        <f>HYPERLINK("http://twitter.com/download/android","Twitter for Android")</f>
        <v>Twitter for Android</v>
      </c>
      <c r="L1996" s="14">
        <v>940</v>
      </c>
      <c r="M1996" s="14">
        <v>786</v>
      </c>
      <c r="N1996" s="14">
        <v>11</v>
      </c>
      <c r="O1996" s="16"/>
      <c r="P1996" s="6">
        <v>41366.308912037035</v>
      </c>
      <c r="Q1996" s="12" t="s">
        <v>7907</v>
      </c>
      <c r="R1996" s="17" t="s">
        <v>7908</v>
      </c>
      <c r="S1996" s="11"/>
      <c r="T1996" s="11"/>
      <c r="U1996" s="10" t="str">
        <f>HYPERLINK("https://pbs.twimg.com/profile_images/1068936546273890306/qQwVxGEx.jpg","View")</f>
        <v>View</v>
      </c>
    </row>
    <row r="1997" spans="1:21" ht="51">
      <c r="A1997" s="6">
        <v>43438.99217592593</v>
      </c>
      <c r="B1997" s="7" t="str">
        <f>HYPERLINK("https://twitter.com/20m","@20m")</f>
        <v>@20m</v>
      </c>
      <c r="C1997" s="21" t="s">
        <v>6308</v>
      </c>
      <c r="D1997" s="9" t="s">
        <v>6503</v>
      </c>
      <c r="E1997" s="10" t="str">
        <f>HYPERLINK("https://twitter.com/20m/status/1070087533902598144","1070087533902598144")</f>
        <v>1070087533902598144</v>
      </c>
      <c r="F1997" s="11"/>
      <c r="G1997" s="13" t="s">
        <v>6504</v>
      </c>
      <c r="H1997" s="11"/>
      <c r="I1997" s="14">
        <v>2</v>
      </c>
      <c r="J1997" s="14">
        <v>4</v>
      </c>
      <c r="K1997" s="15" t="str">
        <f>HYPERLINK("http://dogtrack.es","DogTrack_Oficial")</f>
        <v>DogTrack_Oficial</v>
      </c>
      <c r="L1997" s="14">
        <v>1353522</v>
      </c>
      <c r="M1997" s="14">
        <v>51093</v>
      </c>
      <c r="N1997" s="14">
        <v>14083</v>
      </c>
      <c r="O1997" s="19" t="s">
        <v>42</v>
      </c>
      <c r="P1997" s="6">
        <v>39917.485891203702</v>
      </c>
      <c r="Q1997" s="12" t="s">
        <v>181</v>
      </c>
      <c r="R1997" s="17" t="s">
        <v>6314</v>
      </c>
      <c r="S1997" s="13" t="s">
        <v>6315</v>
      </c>
      <c r="T1997" s="11"/>
      <c r="U1997" s="10" t="str">
        <f>HYPERLINK("https://pbs.twimg.com/profile_images/1013670314285420544/gwCE6EJr.jpg","View")</f>
        <v>View</v>
      </c>
    </row>
    <row r="1998" spans="1:21" ht="102">
      <c r="A1998" s="6">
        <v>43438.988773148143</v>
      </c>
      <c r="B1998" s="7" t="str">
        <f>HYPERLINK("https://twitter.com/currusquita","@currusquita")</f>
        <v>@currusquita</v>
      </c>
      <c r="C1998" s="8" t="s">
        <v>6510</v>
      </c>
      <c r="D1998" s="9" t="s">
        <v>6511</v>
      </c>
      <c r="E1998" s="10" t="str">
        <f>HYPERLINK("https://twitter.com/currusquita/status/1070086302996054016","1070086302996054016")</f>
        <v>1070086302996054016</v>
      </c>
      <c r="F1998" s="13" t="s">
        <v>6512</v>
      </c>
      <c r="G1998" s="13" t="s">
        <v>6514</v>
      </c>
      <c r="H1998" s="11"/>
      <c r="I1998" s="14">
        <v>134</v>
      </c>
      <c r="J1998" s="14">
        <v>166</v>
      </c>
      <c r="K1998" s="15" t="str">
        <f>HYPERLINK("http://twitter.com/download/android","Twitter for Android")</f>
        <v>Twitter for Android</v>
      </c>
      <c r="L1998" s="14">
        <v>6962</v>
      </c>
      <c r="M1998" s="14">
        <v>4893</v>
      </c>
      <c r="N1998" s="14">
        <v>47</v>
      </c>
      <c r="O1998" s="16"/>
      <c r="P1998" s="6">
        <v>41666.749490740738</v>
      </c>
      <c r="Q1998" s="12" t="s">
        <v>231</v>
      </c>
      <c r="R1998" s="17" t="s">
        <v>6517</v>
      </c>
      <c r="S1998" s="11"/>
      <c r="T1998" s="11"/>
      <c r="U1998" s="10" t="str">
        <f>HYPERLINK("https://pbs.twimg.com/profile_images/989594655955259393/pYFgobVp.jpg","View")</f>
        <v>View</v>
      </c>
    </row>
    <row r="1999" spans="1:21" ht="30.6">
      <c r="A1999" s="6">
        <v>43438.987615740742</v>
      </c>
      <c r="B1999" s="7" t="str">
        <f>HYPERLINK("https://twitter.com/CatalRuc","@CatalRuc")</f>
        <v>@CatalRuc</v>
      </c>
      <c r="C1999" s="8" t="s">
        <v>6520</v>
      </c>
      <c r="D1999" s="9" t="s">
        <v>6521</v>
      </c>
      <c r="E1999" s="10" t="str">
        <f>HYPERLINK("https://twitter.com/CatalRuc/status/1070085884253560833","1070085884253560833")</f>
        <v>1070085884253560833</v>
      </c>
      <c r="F1999" s="11"/>
      <c r="G1999" s="13" t="s">
        <v>6522</v>
      </c>
      <c r="H1999" s="11"/>
      <c r="I1999" s="14">
        <v>1</v>
      </c>
      <c r="J1999" s="14">
        <v>2</v>
      </c>
      <c r="K1999" s="15" t="str">
        <f>HYPERLINK("http://twitter.com/download/iphone","Twitter for iPhone")</f>
        <v>Twitter for iPhone</v>
      </c>
      <c r="L1999" s="14">
        <v>3779</v>
      </c>
      <c r="M1999" s="14">
        <v>4630</v>
      </c>
      <c r="N1999" s="14">
        <v>19</v>
      </c>
      <c r="O1999" s="16"/>
      <c r="P1999" s="6">
        <v>41149.696446759262</v>
      </c>
      <c r="Q1999" s="12" t="s">
        <v>6523</v>
      </c>
      <c r="R1999" s="17" t="s">
        <v>6524</v>
      </c>
      <c r="S1999" s="11"/>
      <c r="T1999" s="11"/>
      <c r="U1999" s="10" t="str">
        <f>HYPERLINK("https://pbs.twimg.com/profile_images/926165302089482240/7tEmEnVh.jpg","View")</f>
        <v>View</v>
      </c>
    </row>
    <row r="2000" spans="1:21" ht="91.8">
      <c r="A2000" s="6">
        <v>43438.986909722225</v>
      </c>
      <c r="B2000" s="7" t="str">
        <f>HYPERLINK("https://twitter.com/doguionrego","@doguionrego")</f>
        <v>@doguionrego</v>
      </c>
      <c r="C2000" s="8" t="s">
        <v>756</v>
      </c>
      <c r="D2000" s="9" t="s">
        <v>6527</v>
      </c>
      <c r="E2000" s="10" t="str">
        <f>HYPERLINK("https://twitter.com/doguionrego/status/1070085629357289472","1070085629357289472")</f>
        <v>1070085629357289472</v>
      </c>
      <c r="F2000" s="13" t="s">
        <v>6528</v>
      </c>
      <c r="G2000" s="13" t="s">
        <v>6529</v>
      </c>
      <c r="H2000" s="11"/>
      <c r="I2000" s="14">
        <v>1</v>
      </c>
      <c r="J2000" s="14">
        <v>1</v>
      </c>
      <c r="K2000" s="15" t="str">
        <f>HYPERLINK("http://twitter.com/download/android","Twitter for Android")</f>
        <v>Twitter for Android</v>
      </c>
      <c r="L2000" s="14">
        <v>4649</v>
      </c>
      <c r="M2000" s="14">
        <v>4774</v>
      </c>
      <c r="N2000" s="14">
        <v>9</v>
      </c>
      <c r="O2000" s="16"/>
      <c r="P2000" s="6">
        <v>42818.633599537032</v>
      </c>
      <c r="Q2000" s="12" t="s">
        <v>137</v>
      </c>
      <c r="R2000" s="17" t="s">
        <v>761</v>
      </c>
      <c r="S2000" s="11"/>
      <c r="T2000" s="11"/>
      <c r="U2000" s="10" t="str">
        <f>HYPERLINK("https://pbs.twimg.com/profile_images/937615481602789376/OBa7YPsM.jpg","View")</f>
        <v>View</v>
      </c>
    </row>
    <row r="2001" spans="1:21" ht="51">
      <c r="A2001" s="6">
        <v>43438.985497685186</v>
      </c>
      <c r="B2001" s="7" t="str">
        <f>HYPERLINK("https://twitter.com/Lucia90647951","@Lucia90647951")</f>
        <v>@Lucia90647951</v>
      </c>
      <c r="C2001" s="8" t="s">
        <v>140</v>
      </c>
      <c r="D2001" s="9" t="s">
        <v>6534</v>
      </c>
      <c r="E2001" s="10" t="str">
        <f>HYPERLINK("https://twitter.com/Lucia90647951/status/1070085114825244672","1070085114825244672")</f>
        <v>1070085114825244672</v>
      </c>
      <c r="F2001" s="11"/>
      <c r="G2001" s="11"/>
      <c r="H2001" s="11"/>
      <c r="I2001" s="14">
        <v>0</v>
      </c>
      <c r="J2001" s="14">
        <v>0</v>
      </c>
      <c r="K2001" s="15" t="str">
        <f>HYPERLINK("http://twitter.com/download/iphone","Twitter for iPhone")</f>
        <v>Twitter for iPhone</v>
      </c>
      <c r="L2001" s="14">
        <v>132</v>
      </c>
      <c r="M2001" s="14">
        <v>300</v>
      </c>
      <c r="N2001" s="14">
        <v>0</v>
      </c>
      <c r="O2001" s="16"/>
      <c r="P2001" s="6">
        <v>43384.95612268518</v>
      </c>
      <c r="Q2001" s="11"/>
      <c r="R2001" s="17" t="s">
        <v>152</v>
      </c>
      <c r="S2001" s="11"/>
      <c r="T2001" s="11"/>
      <c r="U2001" s="10" t="str">
        <f>HYPERLINK("https://pbs.twimg.com/profile_images/1050493441669562368/LLmfSs9m.jpg","View")</f>
        <v>View</v>
      </c>
    </row>
    <row r="2002" spans="1:21" ht="40.799999999999997">
      <c r="A2002" s="6">
        <v>43438.985289351855</v>
      </c>
      <c r="B2002" s="7" t="str">
        <f>HYPERLINK("https://twitter.com/PdeSamos","@PdeSamos")</f>
        <v>@PdeSamos</v>
      </c>
      <c r="C2002" s="8" t="s">
        <v>794</v>
      </c>
      <c r="D2002" s="9" t="s">
        <v>7921</v>
      </c>
      <c r="E2002" s="10" t="str">
        <f>HYPERLINK("https://twitter.com/PdeSamos/status/1070085042368667648","1070085042368667648")</f>
        <v>1070085042368667648</v>
      </c>
      <c r="F2002" s="13" t="s">
        <v>7922</v>
      </c>
      <c r="G2002" s="11"/>
      <c r="H2002" s="11"/>
      <c r="I2002" s="14">
        <v>0</v>
      </c>
      <c r="J2002" s="14">
        <v>0</v>
      </c>
      <c r="K2002" s="15" t="str">
        <f>HYPERLINK("http://republico.ddns.net","App Libertad PdeSamos")</f>
        <v>App Libertad PdeSamos</v>
      </c>
      <c r="L2002" s="14">
        <v>5398</v>
      </c>
      <c r="M2002" s="14">
        <v>5441</v>
      </c>
      <c r="N2002" s="14">
        <v>12</v>
      </c>
      <c r="O2002" s="16"/>
      <c r="P2002" s="6">
        <v>42889.820567129631</v>
      </c>
      <c r="Q2002" s="12" t="s">
        <v>800</v>
      </c>
      <c r="R2002" s="17" t="s">
        <v>801</v>
      </c>
      <c r="S2002" s="11"/>
      <c r="T2002" s="11"/>
      <c r="U2002" s="10" t="str">
        <f>HYPERLINK("https://pbs.twimg.com/profile_images/871063742003511296/xK2IYbrO.jpg","View")</f>
        <v>View</v>
      </c>
    </row>
    <row r="2003" spans="1:21" ht="30.6">
      <c r="A2003" s="6">
        <v>43438.979432870372</v>
      </c>
      <c r="B2003" s="7" t="str">
        <f>HYPERLINK("https://twitter.com/Elpa_jarraco","@Elpa_jarraco")</f>
        <v>@Elpa_jarraco</v>
      </c>
      <c r="C2003" s="8" t="s">
        <v>1453</v>
      </c>
      <c r="D2003" s="9" t="s">
        <v>6539</v>
      </c>
      <c r="E2003" s="10" t="str">
        <f>HYPERLINK("https://twitter.com/Elpa_jarraco/status/1070082917785849856","1070082917785849856")</f>
        <v>1070082917785849856</v>
      </c>
      <c r="F2003" s="11"/>
      <c r="G2003" s="11"/>
      <c r="H2003" s="11"/>
      <c r="I2003" s="14">
        <v>0</v>
      </c>
      <c r="J2003" s="14">
        <v>5</v>
      </c>
      <c r="K2003" s="15" t="str">
        <f t="shared" ref="K2003:K2005" si="390">HYPERLINK("http://twitter.com/download/android","Twitter for Android")</f>
        <v>Twitter for Android</v>
      </c>
      <c r="L2003" s="14">
        <v>59</v>
      </c>
      <c r="M2003" s="14">
        <v>191</v>
      </c>
      <c r="N2003" s="14">
        <v>0</v>
      </c>
      <c r="O2003" s="16"/>
      <c r="P2003" s="6">
        <v>42014.029918981483</v>
      </c>
      <c r="Q2003" s="11"/>
      <c r="R2003" s="17" t="s">
        <v>1457</v>
      </c>
      <c r="S2003" s="11"/>
      <c r="T2003" s="11"/>
      <c r="U2003" s="10" t="str">
        <f>HYPERLINK("https://pbs.twimg.com/profile_images/904345518037446656/0ctskaix.jpg","View")</f>
        <v>View</v>
      </c>
    </row>
    <row r="2004" spans="1:21" ht="61.2">
      <c r="A2004" s="6">
        <v>43438.978993055556</v>
      </c>
      <c r="B2004" s="7" t="str">
        <f>HYPERLINK("https://twitter.com/vilqueintweets","@vilqueintweets")</f>
        <v>@vilqueintweets</v>
      </c>
      <c r="C2004" s="8" t="s">
        <v>7925</v>
      </c>
      <c r="D2004" s="9" t="s">
        <v>7926</v>
      </c>
      <c r="E2004" s="10" t="str">
        <f>HYPERLINK("https://twitter.com/vilqueintweets/status/1070082760105230336","1070082760105230336")</f>
        <v>1070082760105230336</v>
      </c>
      <c r="F2004" s="11"/>
      <c r="G2004" s="11"/>
      <c r="H2004" s="11"/>
      <c r="I2004" s="14">
        <v>1</v>
      </c>
      <c r="J2004" s="14">
        <v>9</v>
      </c>
      <c r="K2004" s="15" t="str">
        <f t="shared" si="390"/>
        <v>Twitter for Android</v>
      </c>
      <c r="L2004" s="14">
        <v>709</v>
      </c>
      <c r="M2004" s="14">
        <v>219</v>
      </c>
      <c r="N2004" s="14">
        <v>19</v>
      </c>
      <c r="O2004" s="16"/>
      <c r="P2004" s="6">
        <v>40457.020578703705</v>
      </c>
      <c r="Q2004" s="12" t="s">
        <v>7927</v>
      </c>
      <c r="R2004" s="17" t="s">
        <v>7928</v>
      </c>
      <c r="S2004" s="13" t="s">
        <v>7929</v>
      </c>
      <c r="T2004" s="11"/>
      <c r="U2004" s="10" t="str">
        <f>HYPERLINK("https://pbs.twimg.com/profile_images/2621108007/lwbmb668rwaf1kvbii8k.jpeg","View")</f>
        <v>View</v>
      </c>
    </row>
    <row r="2005" spans="1:21" ht="61.2">
      <c r="A2005" s="6">
        <v>43438.97761574074</v>
      </c>
      <c r="B2005" s="7" t="str">
        <f>HYPERLINK("https://twitter.com/aliciasm_g","@aliciasm_g")</f>
        <v>@aliciasm_g</v>
      </c>
      <c r="C2005" s="8" t="s">
        <v>6540</v>
      </c>
      <c r="D2005" s="9" t="s">
        <v>6541</v>
      </c>
      <c r="E2005" s="10" t="str">
        <f>HYPERLINK("https://twitter.com/aliciasm_g/status/1070082258281865216","1070082258281865216")</f>
        <v>1070082258281865216</v>
      </c>
      <c r="F2005" s="13" t="s">
        <v>6545</v>
      </c>
      <c r="G2005" s="11"/>
      <c r="H2005" s="11"/>
      <c r="I2005" s="14">
        <v>1</v>
      </c>
      <c r="J2005" s="14">
        <v>0</v>
      </c>
      <c r="K2005" s="15" t="str">
        <f t="shared" si="390"/>
        <v>Twitter for Android</v>
      </c>
      <c r="L2005" s="14">
        <v>795</v>
      </c>
      <c r="M2005" s="14">
        <v>1024</v>
      </c>
      <c r="N2005" s="14">
        <v>9</v>
      </c>
      <c r="O2005" s="16"/>
      <c r="P2005" s="6">
        <v>42432.715231481481</v>
      </c>
      <c r="Q2005" s="11"/>
      <c r="R2005" s="17" t="s">
        <v>6547</v>
      </c>
      <c r="S2005" s="11"/>
      <c r="T2005" s="11"/>
      <c r="U2005" s="10" t="str">
        <f>HYPERLINK("https://pbs.twimg.com/profile_images/709347463040266240/CIfrIrvE.jpg","View")</f>
        <v>View</v>
      </c>
    </row>
    <row r="2006" spans="1:21" ht="51">
      <c r="A2006" s="6">
        <v>43438.975972222222</v>
      </c>
      <c r="B2006" s="7" t="str">
        <f>HYPERLINK("https://twitter.com/MichelM2000","@MichelM2000")</f>
        <v>@MichelM2000</v>
      </c>
      <c r="C2006" s="8" t="s">
        <v>6548</v>
      </c>
      <c r="D2006" s="9" t="s">
        <v>6549</v>
      </c>
      <c r="E2006" s="10" t="str">
        <f>HYPERLINK("https://twitter.com/MichelM2000/status/1070081663932268550","1070081663932268550")</f>
        <v>1070081663932268550</v>
      </c>
      <c r="F2006" s="11"/>
      <c r="G2006" s="11"/>
      <c r="H2006" s="11"/>
      <c r="I2006" s="14">
        <v>0</v>
      </c>
      <c r="J2006" s="14">
        <v>1</v>
      </c>
      <c r="K2006" s="15" t="str">
        <f>HYPERLINK("https://mobile.twitter.com","Twitter Lite")</f>
        <v>Twitter Lite</v>
      </c>
      <c r="L2006" s="14">
        <v>207</v>
      </c>
      <c r="M2006" s="14">
        <v>198</v>
      </c>
      <c r="N2006" s="14">
        <v>9</v>
      </c>
      <c r="O2006" s="16"/>
      <c r="P2006" s="6">
        <v>41094.960752314815</v>
      </c>
      <c r="Q2006" s="12" t="s">
        <v>6550</v>
      </c>
      <c r="R2006" s="17" t="s">
        <v>6551</v>
      </c>
      <c r="S2006" s="11"/>
      <c r="T2006" s="11"/>
      <c r="U2006" s="10" t="str">
        <f>HYPERLINK("https://pbs.twimg.com/profile_images/709080114433277952/GIU6X7VT.jpg","View")</f>
        <v>View</v>
      </c>
    </row>
    <row r="2007" spans="1:21" ht="40.799999999999997">
      <c r="A2007" s="6">
        <v>43438.975763888884</v>
      </c>
      <c r="B2007" s="7" t="str">
        <f>HYPERLINK("https://twitter.com/lextresabogados","@lextresabogados")</f>
        <v>@lextresabogados</v>
      </c>
      <c r="C2007" s="8" t="s">
        <v>26</v>
      </c>
      <c r="D2007" s="9" t="s">
        <v>7935</v>
      </c>
      <c r="E2007" s="10" t="str">
        <f>HYPERLINK("https://twitter.com/lextresabogados/status/1070081588837396486","1070081588837396486")</f>
        <v>1070081588837396486</v>
      </c>
      <c r="F2007" s="13" t="s">
        <v>6392</v>
      </c>
      <c r="G2007" s="13" t="s">
        <v>7936</v>
      </c>
      <c r="H2007" s="11"/>
      <c r="I2007" s="14">
        <v>0</v>
      </c>
      <c r="J2007" s="14">
        <v>0</v>
      </c>
      <c r="K2007" s="15" t="str">
        <f>HYPERLINK("http://35.180.36.179","botize nueva")</f>
        <v>botize nueva</v>
      </c>
      <c r="L2007" s="14">
        <v>2912</v>
      </c>
      <c r="M2007" s="14">
        <v>3525</v>
      </c>
      <c r="N2007" s="14">
        <v>26</v>
      </c>
      <c r="O2007" s="16"/>
      <c r="P2007" s="6">
        <v>42880.770949074074</v>
      </c>
      <c r="Q2007" s="12" t="s">
        <v>35</v>
      </c>
      <c r="R2007" s="17" t="s">
        <v>36</v>
      </c>
      <c r="S2007" s="13" t="s">
        <v>37</v>
      </c>
      <c r="T2007" s="11"/>
      <c r="U2007" s="10" t="str">
        <f>HYPERLINK("https://pbs.twimg.com/profile_images/1068056978679898113/YnjKwiVy.jpg","View")</f>
        <v>View</v>
      </c>
    </row>
    <row r="2008" spans="1:21" ht="40.799999999999997">
      <c r="A2008" s="6">
        <v>43438.972256944442</v>
      </c>
      <c r="B2008" s="7" t="str">
        <f>HYPERLINK("https://twitter.com/gerardomataran","@gerardomataran")</f>
        <v>@gerardomataran</v>
      </c>
      <c r="C2008" s="8" t="s">
        <v>7938</v>
      </c>
      <c r="D2008" s="9" t="s">
        <v>7939</v>
      </c>
      <c r="E2008" s="10" t="str">
        <f>HYPERLINK("https://twitter.com/gerardomataran/status/1070080319481659394","1070080319481659394")</f>
        <v>1070080319481659394</v>
      </c>
      <c r="F2008" s="11"/>
      <c r="G2008" s="11"/>
      <c r="H2008" s="11"/>
      <c r="I2008" s="14">
        <v>0</v>
      </c>
      <c r="J2008" s="14">
        <v>0</v>
      </c>
      <c r="K2008" s="15" t="str">
        <f>HYPERLINK("http://www.facebook.com/twitter","Facebook")</f>
        <v>Facebook</v>
      </c>
      <c r="L2008" s="14">
        <v>413</v>
      </c>
      <c r="M2008" s="14">
        <v>278</v>
      </c>
      <c r="N2008" s="14">
        <v>6</v>
      </c>
      <c r="O2008" s="16"/>
      <c r="P2008" s="6">
        <v>40950.960555555554</v>
      </c>
      <c r="Q2008" s="12" t="s">
        <v>7942</v>
      </c>
      <c r="R2008" s="17" t="s">
        <v>7943</v>
      </c>
      <c r="S2008" s="11"/>
      <c r="T2008" s="11"/>
      <c r="U2008" s="10" t="str">
        <f>HYPERLINK("https://pbs.twimg.com/profile_images/470764302572736512/AKOGujxs.jpeg","View")</f>
        <v>View</v>
      </c>
    </row>
    <row r="2009" spans="1:21" ht="40.799999999999997">
      <c r="A2009" s="6">
        <v>43438.971597222218</v>
      </c>
      <c r="B2009" s="7" t="str">
        <f>HYPERLINK("https://twitter.com/pepi_corrales","@pepi_corrales")</f>
        <v>@pepi_corrales</v>
      </c>
      <c r="C2009" s="8" t="s">
        <v>7945</v>
      </c>
      <c r="D2009" s="9" t="s">
        <v>7946</v>
      </c>
      <c r="E2009" s="10" t="str">
        <f>HYPERLINK("https://twitter.com/pepi_corrales/status/1070080080150433793","1070080080150433793")</f>
        <v>1070080080150433793</v>
      </c>
      <c r="F2009" s="11"/>
      <c r="G2009" s="11"/>
      <c r="H2009" s="11"/>
      <c r="I2009" s="14">
        <v>9</v>
      </c>
      <c r="J2009" s="14">
        <v>24</v>
      </c>
      <c r="K2009" s="15" t="str">
        <f>HYPERLINK("http://twitter.com/download/android","Twitter for Android")</f>
        <v>Twitter for Android</v>
      </c>
      <c r="L2009" s="14">
        <v>116</v>
      </c>
      <c r="M2009" s="14">
        <v>337</v>
      </c>
      <c r="N2009" s="14">
        <v>0</v>
      </c>
      <c r="O2009" s="16"/>
      <c r="P2009" s="6">
        <v>43355.80268518519</v>
      </c>
      <c r="Q2009" s="12" t="s">
        <v>3665</v>
      </c>
      <c r="R2009" s="17" t="s">
        <v>7948</v>
      </c>
      <c r="S2009" s="11"/>
      <c r="T2009" s="11"/>
      <c r="U2009" s="10" t="str">
        <f>HYPERLINK("https://pbs.twimg.com/profile_images/1039932700365344768/093ew9tu.jpg","View")</f>
        <v>View</v>
      </c>
    </row>
    <row r="2010" spans="1:21" ht="20.399999999999999">
      <c r="A2010" s="6">
        <v>43438.96811342593</v>
      </c>
      <c r="B2010" s="7" t="str">
        <f>HYPERLINK("https://twitter.com/ECEspana","@ECEspana")</f>
        <v>@ECEspana</v>
      </c>
      <c r="C2010" s="8" t="s">
        <v>7949</v>
      </c>
      <c r="D2010" s="9" t="s">
        <v>7604</v>
      </c>
      <c r="E2010" s="10" t="str">
        <f>HYPERLINK("https://twitter.com/ECEspana/status/1070078816607858688","1070078816607858688")</f>
        <v>1070078816607858688</v>
      </c>
      <c r="F2010" s="13" t="s">
        <v>7950</v>
      </c>
      <c r="G2010" s="11"/>
      <c r="H2010" s="11"/>
      <c r="I2010" s="14">
        <v>0</v>
      </c>
      <c r="J2010" s="14">
        <v>0</v>
      </c>
      <c r="K2010" s="15" t="str">
        <f>HYPERLINK("https://dlvrit.com/","dlvr.it")</f>
        <v>dlvr.it</v>
      </c>
      <c r="L2010" s="14">
        <v>1894</v>
      </c>
      <c r="M2010" s="14">
        <v>91</v>
      </c>
      <c r="N2010" s="14">
        <v>83</v>
      </c>
      <c r="O2010" s="16"/>
      <c r="P2010" s="6">
        <v>42291.784953703704</v>
      </c>
      <c r="Q2010" s="12" t="s">
        <v>60</v>
      </c>
      <c r="R2010" s="17" t="s">
        <v>7953</v>
      </c>
      <c r="S2010" s="13" t="s">
        <v>7954</v>
      </c>
      <c r="T2010" s="11"/>
      <c r="U2010" s="10" t="str">
        <f>HYPERLINK("https://pbs.twimg.com/profile_images/831789838693183488/XYTdUPcP.jpg","View")</f>
        <v>View</v>
      </c>
    </row>
    <row r="2011" spans="1:21" ht="51">
      <c r="A2011" s="6">
        <v>43438.96707175926</v>
      </c>
      <c r="B2011" s="7" t="str">
        <f>HYPERLINK("https://twitter.com/TheSalazarillo","@TheSalazarillo")</f>
        <v>@TheSalazarillo</v>
      </c>
      <c r="C2011" s="8" t="s">
        <v>7956</v>
      </c>
      <c r="D2011" s="9" t="s">
        <v>7957</v>
      </c>
      <c r="E2011" s="10" t="str">
        <f>HYPERLINK("https://twitter.com/TheSalazarillo/status/1070078440349581312","1070078440349581312")</f>
        <v>1070078440349581312</v>
      </c>
      <c r="F2011" s="12" t="s">
        <v>7960</v>
      </c>
      <c r="G2011" s="11"/>
      <c r="H2011" s="11"/>
      <c r="I2011" s="14">
        <v>2</v>
      </c>
      <c r="J2011" s="14">
        <v>5</v>
      </c>
      <c r="K2011" s="15" t="str">
        <f>HYPERLINK("https://mobile.twitter.com","Twitter Lite")</f>
        <v>Twitter Lite</v>
      </c>
      <c r="L2011" s="14">
        <v>1793</v>
      </c>
      <c r="M2011" s="14">
        <v>759</v>
      </c>
      <c r="N2011" s="14">
        <v>2</v>
      </c>
      <c r="O2011" s="16"/>
      <c r="P2011" s="6">
        <v>43431.972071759257</v>
      </c>
      <c r="Q2011" s="11"/>
      <c r="R2011" s="17" t="s">
        <v>7962</v>
      </c>
      <c r="S2011" s="11"/>
      <c r="T2011" s="11"/>
      <c r="U2011" s="10" t="str">
        <f>HYPERLINK("https://pbs.twimg.com/profile_images/1067546707871899648/4tDXbQTa.jpg","View")</f>
        <v>View</v>
      </c>
    </row>
    <row r="2012" spans="1:21" ht="51">
      <c r="A2012" s="6">
        <v>43438.955659722225</v>
      </c>
      <c r="B2012" s="7" t="str">
        <f>HYPERLINK("https://twitter.com/criticonico","@criticonico")</f>
        <v>@criticonico</v>
      </c>
      <c r="C2012" s="8" t="s">
        <v>6555</v>
      </c>
      <c r="D2012" s="9" t="s">
        <v>6556</v>
      </c>
      <c r="E2012" s="10" t="str">
        <f>HYPERLINK("https://twitter.com/criticonico/status/1070074301133611010","1070074301133611010")</f>
        <v>1070074301133611010</v>
      </c>
      <c r="F2012" s="11"/>
      <c r="G2012" s="11"/>
      <c r="H2012" s="11"/>
      <c r="I2012" s="14">
        <v>0</v>
      </c>
      <c r="J2012" s="14">
        <v>1</v>
      </c>
      <c r="K2012" s="15" t="str">
        <f t="shared" ref="K2012:K2013" si="391">HYPERLINK("http://twitter.com/download/android","Twitter for Android")</f>
        <v>Twitter for Android</v>
      </c>
      <c r="L2012" s="14">
        <v>2147</v>
      </c>
      <c r="M2012" s="14">
        <v>547</v>
      </c>
      <c r="N2012" s="14">
        <v>28</v>
      </c>
      <c r="O2012" s="16"/>
      <c r="P2012" s="6">
        <v>42170.523194444446</v>
      </c>
      <c r="Q2012" s="12" t="s">
        <v>60</v>
      </c>
      <c r="R2012" s="17" t="s">
        <v>6559</v>
      </c>
      <c r="S2012" s="11"/>
      <c r="T2012" s="11"/>
      <c r="U2012" s="10" t="str">
        <f>HYPERLINK("https://pbs.twimg.com/profile_images/610395241833758720/mj5bROji.jpg","View")</f>
        <v>View</v>
      </c>
    </row>
    <row r="2013" spans="1:21" ht="30.6">
      <c r="A2013" s="6">
        <v>43438.95521990741</v>
      </c>
      <c r="B2013" s="7" t="str">
        <f>HYPERLINK("https://twitter.com/elgarci07","@elgarci07")</f>
        <v>@elgarci07</v>
      </c>
      <c r="C2013" s="8" t="s">
        <v>7965</v>
      </c>
      <c r="D2013" s="9" t="s">
        <v>7966</v>
      </c>
      <c r="E2013" s="10" t="str">
        <f>HYPERLINK("https://twitter.com/elgarci07/status/1070074144614727685","1070074144614727685")</f>
        <v>1070074144614727685</v>
      </c>
      <c r="F2013" s="11"/>
      <c r="G2013" s="13" t="s">
        <v>7967</v>
      </c>
      <c r="H2013" s="11"/>
      <c r="I2013" s="14">
        <v>1</v>
      </c>
      <c r="J2013" s="14">
        <v>1</v>
      </c>
      <c r="K2013" s="15" t="str">
        <f t="shared" si="391"/>
        <v>Twitter for Android</v>
      </c>
      <c r="L2013" s="14">
        <v>164</v>
      </c>
      <c r="M2013" s="14">
        <v>347</v>
      </c>
      <c r="N2013" s="14">
        <v>0</v>
      </c>
      <c r="O2013" s="16"/>
      <c r="P2013" s="6">
        <v>42476.670324074075</v>
      </c>
      <c r="Q2013" s="12" t="s">
        <v>7968</v>
      </c>
      <c r="R2013" s="17" t="s">
        <v>7969</v>
      </c>
      <c r="S2013" s="13" t="s">
        <v>7970</v>
      </c>
      <c r="T2013" s="11"/>
      <c r="U2013" s="10" t="str">
        <f>HYPERLINK("https://pbs.twimg.com/profile_images/1060206999290503169/ob-wUbi8.jpg","View")</f>
        <v>View</v>
      </c>
    </row>
    <row r="2014" spans="1:21" ht="30.6">
      <c r="A2014" s="6">
        <v>43438.954143518524</v>
      </c>
      <c r="B2014" s="7" t="str">
        <f>HYPERLINK("https://twitter.com/ElCascabelTRECE","@ElCascabelTRECE")</f>
        <v>@ElCascabelTRECE</v>
      </c>
      <c r="C2014" s="8" t="s">
        <v>6562</v>
      </c>
      <c r="D2014" s="9" t="s">
        <v>6563</v>
      </c>
      <c r="E2014" s="10" t="str">
        <f>HYPERLINK("https://twitter.com/ElCascabelTRECE/status/1070073755433648133","1070073755433648133")</f>
        <v>1070073755433648133</v>
      </c>
      <c r="F2014" s="11"/>
      <c r="G2014" s="13" t="s">
        <v>6564</v>
      </c>
      <c r="H2014" s="11"/>
      <c r="I2014" s="14">
        <v>43</v>
      </c>
      <c r="J2014" s="14">
        <v>81</v>
      </c>
      <c r="K2014" s="15" t="str">
        <f t="shared" ref="K2014:K2015" si="392">HYPERLINK("http://twitter.com","Twitter Web Client")</f>
        <v>Twitter Web Client</v>
      </c>
      <c r="L2014" s="14">
        <v>62314</v>
      </c>
      <c r="M2014" s="14">
        <v>244</v>
      </c>
      <c r="N2014" s="14">
        <v>457</v>
      </c>
      <c r="O2014" s="19" t="s">
        <v>42</v>
      </c>
      <c r="P2014" s="6">
        <v>41306.800115740742</v>
      </c>
      <c r="Q2014" s="11"/>
      <c r="R2014" s="17" t="s">
        <v>6566</v>
      </c>
      <c r="S2014" s="13" t="s">
        <v>6567</v>
      </c>
      <c r="T2014" s="11"/>
      <c r="U2014" s="10" t="str">
        <f>HYPERLINK("https://pbs.twimg.com/profile_images/1038023153900052480/-k-n1Efd.jpg","View")</f>
        <v>View</v>
      </c>
    </row>
    <row r="2015" spans="1:21" ht="40.799999999999997">
      <c r="A2015" s="6">
        <v>43438.949583333335</v>
      </c>
      <c r="B2015" s="7" t="str">
        <f>HYPERLINK("https://twitter.com/fer2365","@fer2365")</f>
        <v>@fer2365</v>
      </c>
      <c r="C2015" s="8" t="s">
        <v>2803</v>
      </c>
      <c r="D2015" s="9" t="s">
        <v>7978</v>
      </c>
      <c r="E2015" s="10" t="str">
        <f>HYPERLINK("https://twitter.com/fer2365/status/1070072101657288705","1070072101657288705")</f>
        <v>1070072101657288705</v>
      </c>
      <c r="F2015" s="11"/>
      <c r="G2015" s="11"/>
      <c r="H2015" s="11"/>
      <c r="I2015" s="14">
        <v>0</v>
      </c>
      <c r="J2015" s="14">
        <v>8</v>
      </c>
      <c r="K2015" s="15" t="str">
        <f t="shared" si="392"/>
        <v>Twitter Web Client</v>
      </c>
      <c r="L2015" s="14">
        <v>1807</v>
      </c>
      <c r="M2015" s="14">
        <v>1582</v>
      </c>
      <c r="N2015" s="14">
        <v>15</v>
      </c>
      <c r="O2015" s="16"/>
      <c r="P2015" s="6">
        <v>40246.72520833333</v>
      </c>
      <c r="Q2015" s="11"/>
      <c r="R2015" s="17" t="s">
        <v>2807</v>
      </c>
      <c r="S2015" s="11"/>
      <c r="T2015" s="11"/>
      <c r="U2015" s="10" t="str">
        <f>HYPERLINK("https://pbs.twimg.com/profile_images/1052635885332762625/Cne5ZWEm.jpg","View")</f>
        <v>View</v>
      </c>
    </row>
    <row r="2016" spans="1:21" ht="20.399999999999999">
      <c r="A2016" s="6">
        <v>43438.94699074074</v>
      </c>
      <c r="B2016" s="7" t="str">
        <f>HYPERLINK("https://twitter.com/Ferranet70","@Ferranet70")</f>
        <v>@Ferranet70</v>
      </c>
      <c r="C2016" s="8" t="s">
        <v>7981</v>
      </c>
      <c r="D2016" s="9" t="s">
        <v>7982</v>
      </c>
      <c r="E2016" s="10" t="str">
        <f>HYPERLINK("https://twitter.com/Ferranet70/status/1070071159746715649","1070071159746715649")</f>
        <v>1070071159746715649</v>
      </c>
      <c r="F2016" s="11"/>
      <c r="G2016" s="11"/>
      <c r="H2016" s="11"/>
      <c r="I2016" s="14">
        <v>0</v>
      </c>
      <c r="J2016" s="14">
        <v>0</v>
      </c>
      <c r="K2016" s="15" t="str">
        <f t="shared" ref="K2016:K2017" si="393">HYPERLINK("http://twitter.com/download/android","Twitter for Android")</f>
        <v>Twitter for Android</v>
      </c>
      <c r="L2016" s="14">
        <v>133</v>
      </c>
      <c r="M2016" s="14">
        <v>515</v>
      </c>
      <c r="N2016" s="14">
        <v>15</v>
      </c>
      <c r="O2016" s="16"/>
      <c r="P2016" s="6">
        <v>40530.482418981483</v>
      </c>
      <c r="Q2016" s="12" t="s">
        <v>1785</v>
      </c>
      <c r="R2016" s="17" t="s">
        <v>7983</v>
      </c>
      <c r="S2016" s="11"/>
      <c r="T2016" s="11"/>
      <c r="U2016" s="10" t="str">
        <f>HYPERLINK("https://pbs.twimg.com/profile_images/1322185757/image.jpg","View")</f>
        <v>View</v>
      </c>
    </row>
    <row r="2017" spans="1:21" ht="30.6">
      <c r="A2017" s="6">
        <v>43438.946689814809</v>
      </c>
      <c r="B2017" s="7" t="str">
        <f>HYPERLINK("https://twitter.com/OjoDeUnicornio","@OjoDeUnicornio")</f>
        <v>@OjoDeUnicornio</v>
      </c>
      <c r="C2017" s="8" t="s">
        <v>7986</v>
      </c>
      <c r="D2017" s="9" t="s">
        <v>7987</v>
      </c>
      <c r="E2017" s="10" t="str">
        <f>HYPERLINK("https://twitter.com/OjoDeUnicornio/status/1070071050690588672","1070071050690588672")</f>
        <v>1070071050690588672</v>
      </c>
      <c r="F2017" s="11"/>
      <c r="G2017" s="11"/>
      <c r="H2017" s="11"/>
      <c r="I2017" s="14">
        <v>0</v>
      </c>
      <c r="J2017" s="14">
        <v>4</v>
      </c>
      <c r="K2017" s="15" t="str">
        <f t="shared" si="393"/>
        <v>Twitter for Android</v>
      </c>
      <c r="L2017" s="14">
        <v>146</v>
      </c>
      <c r="M2017" s="14">
        <v>292</v>
      </c>
      <c r="N2017" s="14">
        <v>2</v>
      </c>
      <c r="O2017" s="16"/>
      <c r="P2017" s="6">
        <v>43189.587418981479</v>
      </c>
      <c r="Q2017" s="11"/>
      <c r="R2017" s="17" t="s">
        <v>7990</v>
      </c>
      <c r="S2017" s="11"/>
      <c r="T2017" s="11"/>
      <c r="U2017" s="10" t="str">
        <f>HYPERLINK("https://pbs.twimg.com/profile_images/1029872202752176133/lhYYIgkQ.jpg","View")</f>
        <v>View</v>
      </c>
    </row>
    <row r="2018" spans="1:21" ht="30.6">
      <c r="A2018" s="6">
        <v>43438.946423611109</v>
      </c>
      <c r="B2018" s="7" t="str">
        <f>HYPERLINK("https://twitter.com/RosaRosaRosa16","@RosaRosaRosa16")</f>
        <v>@RosaRosaRosa16</v>
      </c>
      <c r="C2018" s="8" t="s">
        <v>7991</v>
      </c>
      <c r="D2018" s="9" t="s">
        <v>7992</v>
      </c>
      <c r="E2018" s="10" t="str">
        <f>HYPERLINK("https://twitter.com/RosaRosaRosa16/status/1070070957979721728","1070070957979721728")</f>
        <v>1070070957979721728</v>
      </c>
      <c r="F2018" s="11"/>
      <c r="G2018" s="11"/>
      <c r="H2018" s="11"/>
      <c r="I2018" s="14">
        <v>0</v>
      </c>
      <c r="J2018" s="14">
        <v>2</v>
      </c>
      <c r="K2018" s="15" t="str">
        <f>HYPERLINK("http://twitter.com/download/iphone","Twitter for iPhone")</f>
        <v>Twitter for iPhone</v>
      </c>
      <c r="L2018" s="14">
        <v>48</v>
      </c>
      <c r="M2018" s="14">
        <v>248</v>
      </c>
      <c r="N2018" s="14">
        <v>0</v>
      </c>
      <c r="O2018" s="16"/>
      <c r="P2018" s="6">
        <v>42865.002581018518</v>
      </c>
      <c r="Q2018" s="11"/>
      <c r="R2018" s="18"/>
      <c r="S2018" s="11"/>
      <c r="T2018" s="11"/>
      <c r="U2018" s="10" t="str">
        <f>HYPERLINK("https://pbs.twimg.com/profile_images/1071084553538863105/-YqjfLA_.jpg","View")</f>
        <v>View</v>
      </c>
    </row>
    <row r="2019" spans="1:21" ht="51">
      <c r="A2019" s="6">
        <v>43438.946412037039</v>
      </c>
      <c r="B2019" s="7" t="str">
        <f>HYPERLINK("https://twitter.com/TTJA1972","@TTJA1972")</f>
        <v>@TTJA1972</v>
      </c>
      <c r="C2019" s="8" t="s">
        <v>7995</v>
      </c>
      <c r="D2019" s="9" t="s">
        <v>7996</v>
      </c>
      <c r="E2019" s="10" t="str">
        <f>HYPERLINK("https://twitter.com/TTJA1972/status/1070070953080692737","1070070953080692737")</f>
        <v>1070070953080692737</v>
      </c>
      <c r="F2019" s="11"/>
      <c r="G2019" s="11"/>
      <c r="H2019" s="11"/>
      <c r="I2019" s="14">
        <v>0</v>
      </c>
      <c r="J2019" s="14">
        <v>5</v>
      </c>
      <c r="K2019" s="15" t="str">
        <f t="shared" ref="K2019:K2020" si="394">HYPERLINK("http://twitter.com/download/android","Twitter for Android")</f>
        <v>Twitter for Android</v>
      </c>
      <c r="L2019" s="14">
        <v>166</v>
      </c>
      <c r="M2019" s="14">
        <v>285</v>
      </c>
      <c r="N2019" s="14">
        <v>0</v>
      </c>
      <c r="O2019" s="16"/>
      <c r="P2019" s="6">
        <v>41377.011805555558</v>
      </c>
      <c r="Q2019" s="12" t="s">
        <v>7999</v>
      </c>
      <c r="R2019" s="17" t="s">
        <v>8000</v>
      </c>
      <c r="S2019" s="11"/>
      <c r="T2019" s="11"/>
      <c r="U2019" s="10" t="str">
        <f>HYPERLINK("https://pbs.twimg.com/profile_images/1064632713527857152/m3IOT1Ss.jpg","View")</f>
        <v>View</v>
      </c>
    </row>
    <row r="2020" spans="1:21" ht="20.399999999999999">
      <c r="A2020" s="6">
        <v>43438.946099537032</v>
      </c>
      <c r="B2020" s="7" t="str">
        <f>HYPERLINK("https://twitter.com/LaMiniPeni","@LaMiniPeni")</f>
        <v>@LaMiniPeni</v>
      </c>
      <c r="C2020" s="8" t="s">
        <v>8001</v>
      </c>
      <c r="D2020" s="9" t="s">
        <v>8002</v>
      </c>
      <c r="E2020" s="10" t="str">
        <f>HYPERLINK("https://twitter.com/LaMiniPeni/status/1070070837913575425","1070070837913575425")</f>
        <v>1070070837913575425</v>
      </c>
      <c r="F2020" s="11"/>
      <c r="G2020" s="13" t="s">
        <v>8006</v>
      </c>
      <c r="H2020" s="11"/>
      <c r="I2020" s="14">
        <v>0</v>
      </c>
      <c r="J2020" s="14">
        <v>9</v>
      </c>
      <c r="K2020" s="15" t="str">
        <f t="shared" si="394"/>
        <v>Twitter for Android</v>
      </c>
      <c r="L2020" s="14">
        <v>193</v>
      </c>
      <c r="M2020" s="14">
        <v>232</v>
      </c>
      <c r="N2020" s="14">
        <v>0</v>
      </c>
      <c r="O2020" s="16"/>
      <c r="P2020" s="6">
        <v>43137.95034722222</v>
      </c>
      <c r="Q2020" s="11"/>
      <c r="R2020" s="17" t="s">
        <v>8007</v>
      </c>
      <c r="S2020" s="11"/>
      <c r="T2020" s="11"/>
      <c r="U2020" s="10" t="str">
        <f>HYPERLINK("https://pbs.twimg.com/profile_images/1069216282996850688/uRWBmElw.jpg","View")</f>
        <v>View</v>
      </c>
    </row>
    <row r="2021" spans="1:21" ht="20.399999999999999">
      <c r="A2021" s="6">
        <v>43438.945104166662</v>
      </c>
      <c r="B2021" s="7" t="str">
        <f>HYPERLINK("https://twitter.com/RosanaMerlo","@RosanaMerlo")</f>
        <v>@RosanaMerlo</v>
      </c>
      <c r="C2021" s="8" t="s">
        <v>8008</v>
      </c>
      <c r="D2021" s="9" t="s">
        <v>8009</v>
      </c>
      <c r="E2021" s="10" t="str">
        <f>HYPERLINK("https://twitter.com/RosanaMerlo/status/1070070478323269632","1070070478323269632")</f>
        <v>1070070478323269632</v>
      </c>
      <c r="F2021" s="11"/>
      <c r="G2021" s="11"/>
      <c r="H2021" s="11"/>
      <c r="I2021" s="14">
        <v>0</v>
      </c>
      <c r="J2021" s="14">
        <v>5</v>
      </c>
      <c r="K2021" s="15" t="str">
        <f>HYPERLINK("http://twitter.com","Twitter Web Client")</f>
        <v>Twitter Web Client</v>
      </c>
      <c r="L2021" s="14">
        <v>72</v>
      </c>
      <c r="M2021" s="14">
        <v>85</v>
      </c>
      <c r="N2021" s="14">
        <v>1</v>
      </c>
      <c r="O2021" s="16"/>
      <c r="P2021" s="6">
        <v>40912.904016203705</v>
      </c>
      <c r="Q2021" s="12" t="s">
        <v>581</v>
      </c>
      <c r="R2021" s="17" t="s">
        <v>8013</v>
      </c>
      <c r="S2021" s="13" t="s">
        <v>8014</v>
      </c>
      <c r="T2021" s="11"/>
      <c r="U2021" s="10" t="str">
        <f>HYPERLINK("https://pbs.twimg.com/profile_images/1035390876237946880/IdXE2oVY.jpg","View")</f>
        <v>View</v>
      </c>
    </row>
    <row r="2022" spans="1:21" ht="20.399999999999999">
      <c r="A2022" s="6">
        <v>43438.945081018523</v>
      </c>
      <c r="B2022" s="7" t="str">
        <f>HYPERLINK("https://twitter.com/yenn888","@yenn888")</f>
        <v>@yenn888</v>
      </c>
      <c r="C2022" s="8" t="s">
        <v>8015</v>
      </c>
      <c r="D2022" s="9" t="s">
        <v>8016</v>
      </c>
      <c r="E2022" s="10" t="str">
        <f>HYPERLINK("https://twitter.com/yenn888/status/1070070468739239937","1070070468739239937")</f>
        <v>1070070468739239937</v>
      </c>
      <c r="F2022" s="11"/>
      <c r="G2022" s="11"/>
      <c r="H2022" s="11"/>
      <c r="I2022" s="14">
        <v>1</v>
      </c>
      <c r="J2022" s="14">
        <v>1</v>
      </c>
      <c r="K2022" s="15" t="str">
        <f t="shared" ref="K2022:K2023" si="395">HYPERLINK("http://twitter.com/download/android","Twitter for Android")</f>
        <v>Twitter for Android</v>
      </c>
      <c r="L2022" s="14">
        <v>119</v>
      </c>
      <c r="M2022" s="14">
        <v>125</v>
      </c>
      <c r="N2022" s="14">
        <v>0</v>
      </c>
      <c r="O2022" s="16"/>
      <c r="P2022" s="6">
        <v>43014.705289351856</v>
      </c>
      <c r="Q2022" s="12" t="s">
        <v>508</v>
      </c>
      <c r="R2022" s="17" t="s">
        <v>8017</v>
      </c>
      <c r="S2022" s="11"/>
      <c r="T2022" s="11"/>
      <c r="U2022" s="10" t="str">
        <f>HYPERLINK("https://pbs.twimg.com/profile_images/1058793549267943424/dmf3BKUH.jpg","View")</f>
        <v>View</v>
      </c>
    </row>
    <row r="2023" spans="1:21" ht="20.399999999999999">
      <c r="A2023" s="6">
        <v>43438.944907407407</v>
      </c>
      <c r="B2023" s="7" t="str">
        <f>HYPERLINK("https://twitter.com/Hanss_landa","@Hanss_landa")</f>
        <v>@Hanss_landa</v>
      </c>
      <c r="C2023" s="8" t="s">
        <v>8019</v>
      </c>
      <c r="D2023" s="9" t="s">
        <v>8020</v>
      </c>
      <c r="E2023" s="10" t="str">
        <f>HYPERLINK("https://twitter.com/Hanss_landa/status/1070070407129116674","1070070407129116674")</f>
        <v>1070070407129116674</v>
      </c>
      <c r="F2023" s="11"/>
      <c r="G2023" s="13" t="s">
        <v>8021</v>
      </c>
      <c r="H2023" s="11"/>
      <c r="I2023" s="14">
        <v>1</v>
      </c>
      <c r="J2023" s="14">
        <v>5</v>
      </c>
      <c r="K2023" s="15" t="str">
        <f t="shared" si="395"/>
        <v>Twitter for Android</v>
      </c>
      <c r="L2023" s="14">
        <v>13</v>
      </c>
      <c r="M2023" s="14">
        <v>91</v>
      </c>
      <c r="N2023" s="14">
        <v>0</v>
      </c>
      <c r="O2023" s="16"/>
      <c r="P2023" s="6">
        <v>43138.914733796293</v>
      </c>
      <c r="Q2023" s="12" t="s">
        <v>8023</v>
      </c>
      <c r="R2023" s="17" t="s">
        <v>8024</v>
      </c>
      <c r="S2023" s="11"/>
      <c r="T2023" s="11"/>
      <c r="U2023" s="10" t="str">
        <f>HYPERLINK("https://pbs.twimg.com/profile_images/962078122119172097/BTYFyW7C.jpg","View")</f>
        <v>View</v>
      </c>
    </row>
    <row r="2024" spans="1:21" ht="40.799999999999997">
      <c r="A2024" s="6">
        <v>43438.944641203707</v>
      </c>
      <c r="B2024" s="7" t="str">
        <f>HYPERLINK("https://twitter.com/fer2365","@fer2365")</f>
        <v>@fer2365</v>
      </c>
      <c r="C2024" s="8" t="s">
        <v>2803</v>
      </c>
      <c r="D2024" s="9" t="s">
        <v>8025</v>
      </c>
      <c r="E2024" s="10" t="str">
        <f>HYPERLINK("https://twitter.com/fer2365/status/1070070311809355776","1070070311809355776")</f>
        <v>1070070311809355776</v>
      </c>
      <c r="F2024" s="11"/>
      <c r="G2024" s="11"/>
      <c r="H2024" s="11"/>
      <c r="I2024" s="14">
        <v>1</v>
      </c>
      <c r="J2024" s="14">
        <v>3</v>
      </c>
      <c r="K2024" s="15" t="str">
        <f t="shared" ref="K2024:K2025" si="396">HYPERLINK("http://twitter.com","Twitter Web Client")</f>
        <v>Twitter Web Client</v>
      </c>
      <c r="L2024" s="14">
        <v>1807</v>
      </c>
      <c r="M2024" s="14">
        <v>1582</v>
      </c>
      <c r="N2024" s="14">
        <v>15</v>
      </c>
      <c r="O2024" s="16"/>
      <c r="P2024" s="6">
        <v>40246.72520833333</v>
      </c>
      <c r="Q2024" s="11"/>
      <c r="R2024" s="17" t="s">
        <v>2807</v>
      </c>
      <c r="S2024" s="11"/>
      <c r="T2024" s="11"/>
      <c r="U2024" s="10" t="str">
        <f>HYPERLINK("https://pbs.twimg.com/profile_images/1052635885332762625/Cne5ZWEm.jpg","View")</f>
        <v>View</v>
      </c>
    </row>
    <row r="2025" spans="1:21" ht="20.399999999999999">
      <c r="A2025" s="6">
        <v>43438.944467592592</v>
      </c>
      <c r="B2025" s="7" t="str">
        <f>HYPERLINK("https://twitter.com/firstdates_tv","@firstdates_tv")</f>
        <v>@firstdates_tv</v>
      </c>
      <c r="C2025" s="8" t="s">
        <v>8028</v>
      </c>
      <c r="D2025" s="9" t="s">
        <v>8029</v>
      </c>
      <c r="E2025" s="10" t="str">
        <f>HYPERLINK("https://twitter.com/firstdates_tv/status/1070070248957771781","1070070248957771781")</f>
        <v>1070070248957771781</v>
      </c>
      <c r="F2025" s="13" t="s">
        <v>8030</v>
      </c>
      <c r="G2025" s="13" t="s">
        <v>8031</v>
      </c>
      <c r="H2025" s="11"/>
      <c r="I2025" s="14">
        <v>1</v>
      </c>
      <c r="J2025" s="14">
        <v>5</v>
      </c>
      <c r="K2025" s="15" t="str">
        <f t="shared" si="396"/>
        <v>Twitter Web Client</v>
      </c>
      <c r="L2025" s="14">
        <v>35750</v>
      </c>
      <c r="M2025" s="14">
        <v>146</v>
      </c>
      <c r="N2025" s="14">
        <v>45</v>
      </c>
      <c r="O2025" s="19" t="s">
        <v>42</v>
      </c>
      <c r="P2025" s="6">
        <v>42408.513819444444</v>
      </c>
      <c r="Q2025" s="12" t="s">
        <v>2831</v>
      </c>
      <c r="R2025" s="17" t="s">
        <v>8032</v>
      </c>
      <c r="S2025" s="13" t="s">
        <v>8033</v>
      </c>
      <c r="T2025" s="11"/>
      <c r="U2025" s="10" t="str">
        <f>HYPERLINK("https://pbs.twimg.com/profile_images/711893020770172928/3YfHa09m.jpg","View")</f>
        <v>View</v>
      </c>
    </row>
    <row r="2026" spans="1:21" ht="40.799999999999997">
      <c r="A2026" s="6">
        <v>43438.94430555556</v>
      </c>
      <c r="B2026" s="7" t="str">
        <f>HYPERLINK("https://twitter.com/esver2010","@esver2010")</f>
        <v>@esver2010</v>
      </c>
      <c r="C2026" s="8" t="s">
        <v>6571</v>
      </c>
      <c r="D2026" s="9" t="s">
        <v>6572</v>
      </c>
      <c r="E2026" s="10" t="str">
        <f>HYPERLINK("https://twitter.com/esver2010/status/1070070187918020609","1070070187918020609")</f>
        <v>1070070187918020609</v>
      </c>
      <c r="F2026" s="12" t="s">
        <v>4907</v>
      </c>
      <c r="G2026" s="11"/>
      <c r="H2026" s="11"/>
      <c r="I2026" s="14">
        <v>0</v>
      </c>
      <c r="J2026" s="14">
        <v>0</v>
      </c>
      <c r="K2026" s="15" t="str">
        <f>HYPERLINK("http://twitter.com/download/iphone","Twitter for iPhone")</f>
        <v>Twitter for iPhone</v>
      </c>
      <c r="L2026" s="14">
        <v>826</v>
      </c>
      <c r="M2026" s="14">
        <v>880</v>
      </c>
      <c r="N2026" s="14">
        <v>109</v>
      </c>
      <c r="O2026" s="16"/>
      <c r="P2026" s="6">
        <v>40287.733113425929</v>
      </c>
      <c r="Q2026" s="12" t="s">
        <v>6573</v>
      </c>
      <c r="R2026" s="17" t="s">
        <v>6574</v>
      </c>
      <c r="S2026" s="13" t="s">
        <v>6575</v>
      </c>
      <c r="T2026" s="11"/>
      <c r="U2026" s="10" t="str">
        <f>HYPERLINK("https://pbs.twimg.com/profile_images/378800000188820288/3c238676df1cdb092a1bc512f6ff4d85.jpeg","View")</f>
        <v>View</v>
      </c>
    </row>
    <row r="2027" spans="1:21" ht="61.2">
      <c r="A2027" s="6">
        <v>43438.943344907406</v>
      </c>
      <c r="B2027" s="7" t="str">
        <f>HYPERLINK("https://twitter.com/elmorenopepero","@elmorenopepero")</f>
        <v>@elmorenopepero</v>
      </c>
      <c r="C2027" s="8" t="s">
        <v>8039</v>
      </c>
      <c r="D2027" s="9" t="s">
        <v>8040</v>
      </c>
      <c r="E2027" s="10" t="str">
        <f>HYPERLINK("https://twitter.com/elmorenopepero/status/1070069838280867845","1070069838280867845")</f>
        <v>1070069838280867845</v>
      </c>
      <c r="F2027" s="11"/>
      <c r="G2027" s="11"/>
      <c r="H2027" s="11"/>
      <c r="I2027" s="14">
        <v>0</v>
      </c>
      <c r="J2027" s="14">
        <v>0</v>
      </c>
      <c r="K2027" s="15" t="str">
        <f>HYPERLINK("https://ifttt.com","IFTTT")</f>
        <v>IFTTT</v>
      </c>
      <c r="L2027" s="14">
        <v>1523</v>
      </c>
      <c r="M2027" s="14">
        <v>3048</v>
      </c>
      <c r="N2027" s="14">
        <v>4</v>
      </c>
      <c r="O2027" s="16"/>
      <c r="P2027" s="6">
        <v>41684.859618055554</v>
      </c>
      <c r="Q2027" s="11"/>
      <c r="R2027" s="17" t="s">
        <v>8042</v>
      </c>
      <c r="S2027" s="11"/>
      <c r="T2027" s="11"/>
      <c r="U2027" s="10" t="str">
        <f>HYPERLINK("https://pbs.twimg.com/profile_images/651865216129585152/iceCDl0w.jpg","View")</f>
        <v>View</v>
      </c>
    </row>
    <row r="2028" spans="1:21" ht="51">
      <c r="A2028" s="6">
        <v>43438.941122685181</v>
      </c>
      <c r="B2028" s="7" t="str">
        <f>HYPERLINK("https://twitter.com/cs_ciutat_vella","@cs_ciutat_vella")</f>
        <v>@cs_ciutat_vella</v>
      </c>
      <c r="C2028" s="8" t="s">
        <v>6578</v>
      </c>
      <c r="D2028" s="9" t="s">
        <v>6579</v>
      </c>
      <c r="E2028" s="10" t="str">
        <f>HYPERLINK("https://twitter.com/cs_ciutat_vella/status/1070069034794795008","1070069034794795008")</f>
        <v>1070069034794795008</v>
      </c>
      <c r="F2028" s="11"/>
      <c r="G2028" s="13" t="s">
        <v>6580</v>
      </c>
      <c r="H2028" s="11"/>
      <c r="I2028" s="14">
        <v>1</v>
      </c>
      <c r="J2028" s="14">
        <v>6</v>
      </c>
      <c r="K2028" s="15" t="str">
        <f>HYPERLINK("http://twitter.com/download/iphone","Twitter for iPhone")</f>
        <v>Twitter for iPhone</v>
      </c>
      <c r="L2028" s="14">
        <v>2685</v>
      </c>
      <c r="M2028" s="14">
        <v>1459</v>
      </c>
      <c r="N2028" s="14">
        <v>61</v>
      </c>
      <c r="O2028" s="16"/>
      <c r="P2028" s="6">
        <v>41009.452789351853</v>
      </c>
      <c r="Q2028" s="12" t="s">
        <v>83</v>
      </c>
      <c r="R2028" s="17" t="s">
        <v>6583</v>
      </c>
      <c r="S2028" s="13" t="s">
        <v>6584</v>
      </c>
      <c r="T2028" s="11"/>
      <c r="U2028" s="10" t="str">
        <f>HYPERLINK("https://pbs.twimg.com/profile_images/906597420796178434/bctrBQ2Y.jpg","View")</f>
        <v>View</v>
      </c>
    </row>
    <row r="2029" spans="1:21" ht="40.799999999999997">
      <c r="A2029" s="6">
        <v>43438.940393518518</v>
      </c>
      <c r="B2029" s="7" t="str">
        <f>HYPERLINK("https://twitter.com/zapper_news","@zapper_news")</f>
        <v>@zapper_news</v>
      </c>
      <c r="C2029" s="8" t="s">
        <v>56</v>
      </c>
      <c r="D2029" s="9" t="s">
        <v>214</v>
      </c>
      <c r="E2029" s="10" t="str">
        <f>HYPERLINK("https://twitter.com/zapper_news/status/1070068772583690241","1070068772583690241")</f>
        <v>1070068772583690241</v>
      </c>
      <c r="F2029" s="13" t="s">
        <v>217</v>
      </c>
      <c r="G2029" s="11"/>
      <c r="H2029" s="11"/>
      <c r="I2029" s="14">
        <v>0</v>
      </c>
      <c r="J2029" s="14">
        <v>0</v>
      </c>
      <c r="K2029" s="15" t="str">
        <f>HYPERLINK("http://www.tier.be","Stats Now")</f>
        <v>Stats Now</v>
      </c>
      <c r="L2029" s="14">
        <v>285</v>
      </c>
      <c r="M2029" s="14">
        <v>1845</v>
      </c>
      <c r="N2029" s="14">
        <v>0</v>
      </c>
      <c r="O2029" s="16"/>
      <c r="P2029" s="6">
        <v>42874.842048611114</v>
      </c>
      <c r="Q2029" s="12" t="s">
        <v>60</v>
      </c>
      <c r="R2029" s="17" t="s">
        <v>61</v>
      </c>
      <c r="S2029" s="13" t="s">
        <v>62</v>
      </c>
      <c r="T2029" s="11"/>
      <c r="U2029" s="10" t="str">
        <f>HYPERLINK("https://pbs.twimg.com/profile_images/1011404142210961408/ffUw_4XH.jpg","View")</f>
        <v>View</v>
      </c>
    </row>
    <row r="2030" spans="1:21" ht="30.6">
      <c r="A2030" s="6">
        <v>43438.939421296294</v>
      </c>
      <c r="B2030" s="7" t="str">
        <f>HYPERLINK("https://twitter.com/MiguelRodguez","@MiguelRodguez")</f>
        <v>@MiguelRodguez</v>
      </c>
      <c r="C2030" s="8" t="s">
        <v>8047</v>
      </c>
      <c r="D2030" s="9" t="s">
        <v>8048</v>
      </c>
      <c r="E2030" s="10" t="str">
        <f>HYPERLINK("https://twitter.com/MiguelRodguez/status/1070068417951088640","1070068417951088640")</f>
        <v>1070068417951088640</v>
      </c>
      <c r="F2030" s="11"/>
      <c r="G2030" s="11"/>
      <c r="H2030" s="11"/>
      <c r="I2030" s="14">
        <v>0</v>
      </c>
      <c r="J2030" s="14">
        <v>0</v>
      </c>
      <c r="K2030" s="15" t="str">
        <f t="shared" ref="K2030:K2032" si="397">HYPERLINK("http://twitter.com/download/android","Twitter for Android")</f>
        <v>Twitter for Android</v>
      </c>
      <c r="L2030" s="14">
        <v>272</v>
      </c>
      <c r="M2030" s="14">
        <v>264</v>
      </c>
      <c r="N2030" s="14">
        <v>2</v>
      </c>
      <c r="O2030" s="16"/>
      <c r="P2030" s="6">
        <v>40852.718657407408</v>
      </c>
      <c r="Q2030" s="12" t="s">
        <v>8050</v>
      </c>
      <c r="R2030" s="17" t="s">
        <v>8051</v>
      </c>
      <c r="S2030" s="11"/>
      <c r="T2030" s="11"/>
      <c r="U2030" s="10" t="str">
        <f>HYPERLINK("https://pbs.twimg.com/profile_images/733064531962925058/CDhso-w0.jpg","View")</f>
        <v>View</v>
      </c>
    </row>
    <row r="2031" spans="1:21" ht="40.799999999999997">
      <c r="A2031" s="6">
        <v>43438.939409722225</v>
      </c>
      <c r="B2031" s="7" t="str">
        <f>HYPERLINK("https://twitter.com/Wertyalord1","@Wertyalord1")</f>
        <v>@Wertyalord1</v>
      </c>
      <c r="C2031" s="8" t="s">
        <v>8052</v>
      </c>
      <c r="D2031" s="9" t="s">
        <v>8053</v>
      </c>
      <c r="E2031" s="10" t="str">
        <f>HYPERLINK("https://twitter.com/Wertyalord1/status/1070068414385938433","1070068414385938433")</f>
        <v>1070068414385938433</v>
      </c>
      <c r="F2031" s="11"/>
      <c r="G2031" s="11"/>
      <c r="H2031" s="11"/>
      <c r="I2031" s="14">
        <v>5</v>
      </c>
      <c r="J2031" s="14">
        <v>16</v>
      </c>
      <c r="K2031" s="15" t="str">
        <f t="shared" si="397"/>
        <v>Twitter for Android</v>
      </c>
      <c r="L2031" s="14">
        <v>4613</v>
      </c>
      <c r="M2031" s="14">
        <v>3252</v>
      </c>
      <c r="N2031" s="14">
        <v>104</v>
      </c>
      <c r="O2031" s="16"/>
      <c r="P2031" s="6">
        <v>41363.48951388889</v>
      </c>
      <c r="Q2031" s="12" t="s">
        <v>8054</v>
      </c>
      <c r="R2031" s="17" t="s">
        <v>8055</v>
      </c>
      <c r="S2031" s="11"/>
      <c r="T2031" s="11"/>
      <c r="U2031" s="10" t="str">
        <f>HYPERLINK("https://pbs.twimg.com/profile_images/1003671021361205249/sAzGWgYk.jpg","View")</f>
        <v>View</v>
      </c>
    </row>
    <row r="2032" spans="1:21" ht="40.799999999999997">
      <c r="A2032" s="6">
        <v>43438.938611111109</v>
      </c>
      <c r="B2032" s="7" t="str">
        <f>HYPERLINK("https://twitter.com/twpiter","@twpiter")</f>
        <v>@twpiter</v>
      </c>
      <c r="C2032" s="8" t="s">
        <v>6588</v>
      </c>
      <c r="D2032" s="9" t="s">
        <v>6589</v>
      </c>
      <c r="E2032" s="10" t="str">
        <f>HYPERLINK("https://twitter.com/twpiter/status/1070068126480502784","1070068126480502784")</f>
        <v>1070068126480502784</v>
      </c>
      <c r="F2032" s="11"/>
      <c r="G2032" s="13" t="s">
        <v>6590</v>
      </c>
      <c r="H2032" s="11"/>
      <c r="I2032" s="14">
        <v>0</v>
      </c>
      <c r="J2032" s="14">
        <v>0</v>
      </c>
      <c r="K2032" s="15" t="str">
        <f t="shared" si="397"/>
        <v>Twitter for Android</v>
      </c>
      <c r="L2032" s="14">
        <v>244</v>
      </c>
      <c r="M2032" s="14">
        <v>958</v>
      </c>
      <c r="N2032" s="14">
        <v>17</v>
      </c>
      <c r="O2032" s="16"/>
      <c r="P2032" s="6">
        <v>40629.955208333333</v>
      </c>
      <c r="Q2032" s="12" t="s">
        <v>6591</v>
      </c>
      <c r="R2032" s="17" t="s">
        <v>6592</v>
      </c>
      <c r="S2032" s="11"/>
      <c r="T2032" s="11"/>
      <c r="U2032" s="10" t="str">
        <f>HYPERLINK("https://pbs.twimg.com/profile_images/818453958742147073/kYlMxlAr.jpg","View")</f>
        <v>View</v>
      </c>
    </row>
    <row r="2033" spans="1:21" ht="102">
      <c r="A2033" s="6">
        <v>43438.938344907408</v>
      </c>
      <c r="B2033" s="7" t="str">
        <f>HYPERLINK("https://twitter.com/Lucia90647951","@Lucia90647951")</f>
        <v>@Lucia90647951</v>
      </c>
      <c r="C2033" s="8" t="s">
        <v>140</v>
      </c>
      <c r="D2033" s="9" t="s">
        <v>6593</v>
      </c>
      <c r="E2033" s="10" t="str">
        <f>HYPERLINK("https://twitter.com/Lucia90647951/status/1070068026832314368","1070068026832314368")</f>
        <v>1070068026832314368</v>
      </c>
      <c r="F2033" s="13" t="s">
        <v>6594</v>
      </c>
      <c r="G2033" s="11"/>
      <c r="H2033" s="11"/>
      <c r="I2033" s="14">
        <v>0</v>
      </c>
      <c r="J2033" s="14">
        <v>0</v>
      </c>
      <c r="K2033" s="15" t="str">
        <f>HYPERLINK("http://twitter.com/download/iphone","Twitter for iPhone")</f>
        <v>Twitter for iPhone</v>
      </c>
      <c r="L2033" s="14">
        <v>132</v>
      </c>
      <c r="M2033" s="14">
        <v>300</v>
      </c>
      <c r="N2033" s="14">
        <v>0</v>
      </c>
      <c r="O2033" s="16"/>
      <c r="P2033" s="6">
        <v>43384.95612268518</v>
      </c>
      <c r="Q2033" s="11"/>
      <c r="R2033" s="17" t="s">
        <v>152</v>
      </c>
      <c r="S2033" s="11"/>
      <c r="T2033" s="11"/>
      <c r="U2033" s="10" t="str">
        <f>HYPERLINK("https://pbs.twimg.com/profile_images/1050493441669562368/LLmfSs9m.jpg","View")</f>
        <v>View</v>
      </c>
    </row>
    <row r="2034" spans="1:21" ht="40.799999999999997">
      <c r="A2034" s="6">
        <v>43438.938009259262</v>
      </c>
      <c r="B2034" s="7" t="str">
        <f>HYPERLINK("https://twitter.com/dracdolot","@dracdolot")</f>
        <v>@dracdolot</v>
      </c>
      <c r="C2034" s="8" t="s">
        <v>8063</v>
      </c>
      <c r="D2034" s="9" t="s">
        <v>8064</v>
      </c>
      <c r="E2034" s="10" t="str">
        <f>HYPERLINK("https://twitter.com/dracdolot/status/1070067904899674113","1070067904899674113")</f>
        <v>1070067904899674113</v>
      </c>
      <c r="F2034" s="11"/>
      <c r="G2034" s="11"/>
      <c r="H2034" s="11"/>
      <c r="I2034" s="14">
        <v>1</v>
      </c>
      <c r="J2034" s="14">
        <v>9</v>
      </c>
      <c r="K2034" s="15" t="str">
        <f>HYPERLINK("http://twitter.com/download/android","Twitter for Android")</f>
        <v>Twitter for Android</v>
      </c>
      <c r="L2034" s="14">
        <v>4297</v>
      </c>
      <c r="M2034" s="14">
        <v>4514</v>
      </c>
      <c r="N2034" s="14">
        <v>3</v>
      </c>
      <c r="O2034" s="16"/>
      <c r="P2034" s="6">
        <v>42991.816504629634</v>
      </c>
      <c r="Q2034" s="12" t="s">
        <v>7620</v>
      </c>
      <c r="R2034" s="17" t="s">
        <v>8068</v>
      </c>
      <c r="S2034" s="11"/>
      <c r="T2034" s="11"/>
      <c r="U2034" s="10" t="str">
        <f>HYPERLINK("https://pbs.twimg.com/profile_images/1037381181564760064/8uwGeer7.jpg","View")</f>
        <v>View</v>
      </c>
    </row>
    <row r="2035" spans="1:21" ht="40.799999999999997">
      <c r="A2035" s="6">
        <v>43438.937268518523</v>
      </c>
      <c r="B2035" s="7" t="str">
        <f>HYPERLINK("https://twitter.com/JaumeSolerSerra","@JaumeSolerSerra")</f>
        <v>@JaumeSolerSerra</v>
      </c>
      <c r="C2035" s="8" t="s">
        <v>8071</v>
      </c>
      <c r="D2035" s="9" t="s">
        <v>7542</v>
      </c>
      <c r="E2035" s="10" t="str">
        <f>HYPERLINK("https://twitter.com/JaumeSolerSerra/status/1070067638158663680","1070067638158663680")</f>
        <v>1070067638158663680</v>
      </c>
      <c r="F2035" s="13" t="s">
        <v>7544</v>
      </c>
      <c r="G2035" s="11"/>
      <c r="H2035" s="11"/>
      <c r="I2035" s="14">
        <v>0</v>
      </c>
      <c r="J2035" s="14">
        <v>0</v>
      </c>
      <c r="K2035" s="15" t="str">
        <f>HYPERLINK("http://twitter.com","Twitter Web Client")</f>
        <v>Twitter Web Client</v>
      </c>
      <c r="L2035" s="14">
        <v>510</v>
      </c>
      <c r="M2035" s="14">
        <v>1045</v>
      </c>
      <c r="N2035" s="14">
        <v>6</v>
      </c>
      <c r="O2035" s="16"/>
      <c r="P2035" s="6">
        <v>41150.472986111112</v>
      </c>
      <c r="Q2035" s="12" t="s">
        <v>8074</v>
      </c>
      <c r="R2035" s="17" t="s">
        <v>8075</v>
      </c>
      <c r="S2035" s="13" t="s">
        <v>8076</v>
      </c>
      <c r="T2035" s="11"/>
      <c r="U2035" s="10" t="str">
        <f>HYPERLINK("https://pbs.twimg.com/profile_images/2556137076/1isb6dmw3794ju9jlf1h.jpeg","View")</f>
        <v>View</v>
      </c>
    </row>
    <row r="2036" spans="1:21" ht="102">
      <c r="A2036" s="6">
        <v>43438.937268518523</v>
      </c>
      <c r="B2036" s="7" t="str">
        <f>HYPERLINK("https://twitter.com/fegabriel7","@fegabriel7")</f>
        <v>@fegabriel7</v>
      </c>
      <c r="C2036" s="8" t="s">
        <v>6595</v>
      </c>
      <c r="D2036" s="9" t="s">
        <v>6596</v>
      </c>
      <c r="E2036" s="10" t="str">
        <f>HYPERLINK("https://twitter.com/fegabriel7/status/1070067637881839616","1070067637881839616")</f>
        <v>1070067637881839616</v>
      </c>
      <c r="F2036" s="13" t="s">
        <v>6597</v>
      </c>
      <c r="G2036" s="11"/>
      <c r="H2036" s="11"/>
      <c r="I2036" s="14">
        <v>5</v>
      </c>
      <c r="J2036" s="14">
        <v>5</v>
      </c>
      <c r="K2036" s="15" t="str">
        <f>HYPERLINK("http://twitter.com/download/android","Twitter for Android")</f>
        <v>Twitter for Android</v>
      </c>
      <c r="L2036" s="14">
        <v>326</v>
      </c>
      <c r="M2036" s="14">
        <v>903</v>
      </c>
      <c r="N2036" s="14">
        <v>2</v>
      </c>
      <c r="O2036" s="16"/>
      <c r="P2036" s="6">
        <v>43383.605624999997</v>
      </c>
      <c r="Q2036" s="12" t="s">
        <v>2909</v>
      </c>
      <c r="R2036" s="17" t="s">
        <v>6598</v>
      </c>
      <c r="S2036" s="11"/>
      <c r="T2036" s="11"/>
      <c r="U2036" s="10" t="str">
        <f>HYPERLINK("https://pbs.twimg.com/profile_images/1064476471283118080/I9dl5gwQ.jpg","View")</f>
        <v>View</v>
      </c>
    </row>
    <row r="2037" spans="1:21" ht="81.599999999999994">
      <c r="A2037" s="6">
        <v>43438.937175925923</v>
      </c>
      <c r="B2037" s="7" t="str">
        <f>HYPERLINK("https://twitter.com/NoAlExpolio","@NoAlExpolio")</f>
        <v>@NoAlExpolio</v>
      </c>
      <c r="C2037" s="8" t="s">
        <v>6599</v>
      </c>
      <c r="D2037" s="9" t="s">
        <v>6600</v>
      </c>
      <c r="E2037" s="10" t="str">
        <f>HYPERLINK("https://twitter.com/NoAlExpolio/status/1070067606596538370","1070067606596538370")</f>
        <v>1070067606596538370</v>
      </c>
      <c r="F2037" s="12" t="s">
        <v>6603</v>
      </c>
      <c r="G2037" s="11"/>
      <c r="H2037" s="11"/>
      <c r="I2037" s="14">
        <v>0</v>
      </c>
      <c r="J2037" s="14">
        <v>0</v>
      </c>
      <c r="K2037" s="15" t="str">
        <f>HYPERLINK("https://mobile.twitter.com","Twitter Lite")</f>
        <v>Twitter Lite</v>
      </c>
      <c r="L2037" s="14">
        <v>365</v>
      </c>
      <c r="M2037" s="14">
        <v>504</v>
      </c>
      <c r="N2037" s="14">
        <v>2</v>
      </c>
      <c r="O2037" s="16"/>
      <c r="P2037" s="6">
        <v>42941.022824074069</v>
      </c>
      <c r="Q2037" s="11"/>
      <c r="R2037" s="17" t="s">
        <v>6606</v>
      </c>
      <c r="S2037" s="11"/>
      <c r="T2037" s="11"/>
      <c r="U2037" s="10" t="str">
        <f>HYPERLINK("https://pbs.twimg.com/profile_images/998018196962623488/o0byUEEw.jpg","View")</f>
        <v>View</v>
      </c>
    </row>
    <row r="2038" spans="1:21" ht="30.6">
      <c r="A2038" s="6">
        <v>43438.937083333338</v>
      </c>
      <c r="B2038" s="7" t="str">
        <f>HYPERLINK("https://twitter.com/CapitaJanMoixo","@CapitaJanMoixo")</f>
        <v>@CapitaJanMoixo</v>
      </c>
      <c r="C2038" s="8" t="s">
        <v>8081</v>
      </c>
      <c r="D2038" s="9" t="s">
        <v>8082</v>
      </c>
      <c r="E2038" s="10" t="str">
        <f>HYPERLINK("https://twitter.com/CapitaJanMoixo/status/1070067571414745088","1070067571414745088")</f>
        <v>1070067571414745088</v>
      </c>
      <c r="F2038" s="11"/>
      <c r="G2038" s="13" t="s">
        <v>8084</v>
      </c>
      <c r="H2038" s="11"/>
      <c r="I2038" s="14">
        <v>0</v>
      </c>
      <c r="J2038" s="14">
        <v>1</v>
      </c>
      <c r="K2038" s="15" t="str">
        <f t="shared" ref="K2038:K2039" si="398">HYPERLINK("http://twitter.com/download/android","Twitter for Android")</f>
        <v>Twitter for Android</v>
      </c>
      <c r="L2038" s="14">
        <v>1019</v>
      </c>
      <c r="M2038" s="14">
        <v>1010</v>
      </c>
      <c r="N2038" s="14">
        <v>5</v>
      </c>
      <c r="O2038" s="16"/>
      <c r="P2038" s="6">
        <v>42164.755277777775</v>
      </c>
      <c r="Q2038" s="12" t="s">
        <v>8087</v>
      </c>
      <c r="R2038" s="17" t="s">
        <v>8088</v>
      </c>
      <c r="S2038" s="11"/>
      <c r="T2038" s="11"/>
      <c r="U2038" s="10" t="str">
        <f>HYPERLINK("https://pbs.twimg.com/profile_images/962339232105877505/iv6vkiS0.jpg","View")</f>
        <v>View</v>
      </c>
    </row>
    <row r="2039" spans="1:21" ht="40.799999999999997">
      <c r="A2039" s="6">
        <v>43438.934444444443</v>
      </c>
      <c r="B2039" s="7" t="str">
        <f>HYPERLINK("https://twitter.com/EscofetMerce","@EscofetMerce")</f>
        <v>@EscofetMerce</v>
      </c>
      <c r="C2039" s="8" t="s">
        <v>5172</v>
      </c>
      <c r="D2039" s="9" t="s">
        <v>6608</v>
      </c>
      <c r="E2039" s="10" t="str">
        <f>HYPERLINK("https://twitter.com/EscofetMerce/status/1070066616212295681","1070066616212295681")</f>
        <v>1070066616212295681</v>
      </c>
      <c r="F2039" s="11"/>
      <c r="G2039" s="13" t="s">
        <v>6609</v>
      </c>
      <c r="H2039" s="11"/>
      <c r="I2039" s="14">
        <v>2</v>
      </c>
      <c r="J2039" s="14">
        <v>2</v>
      </c>
      <c r="K2039" s="15" t="str">
        <f t="shared" si="398"/>
        <v>Twitter for Android</v>
      </c>
      <c r="L2039" s="14">
        <v>798</v>
      </c>
      <c r="M2039" s="14">
        <v>1444</v>
      </c>
      <c r="N2039" s="14">
        <v>3</v>
      </c>
      <c r="O2039" s="16"/>
      <c r="P2039" s="6">
        <v>42529.626516203702</v>
      </c>
      <c r="Q2039" s="12" t="s">
        <v>1785</v>
      </c>
      <c r="R2039" s="17" t="s">
        <v>5175</v>
      </c>
      <c r="S2039" s="13" t="s">
        <v>5176</v>
      </c>
      <c r="T2039" s="11"/>
      <c r="U2039" s="10" t="str">
        <f>HYPERLINK("https://pbs.twimg.com/profile_images/955526336667365377/4_KCKtvb.jpg","View")</f>
        <v>View</v>
      </c>
    </row>
    <row r="2040" spans="1:21" ht="20.399999999999999">
      <c r="A2040" s="6">
        <v>43438.933738425927</v>
      </c>
      <c r="B2040" s="7" t="str">
        <f>HYPERLINK("https://twitter.com/FlipB_","@FlipB_")</f>
        <v>@FlipB_</v>
      </c>
      <c r="C2040" s="8" t="s">
        <v>8092</v>
      </c>
      <c r="D2040" s="9" t="s">
        <v>8093</v>
      </c>
      <c r="E2040" s="10" t="str">
        <f>HYPERLINK("https://twitter.com/FlipB_/status/1070066359139270656","1070066359139270656")</f>
        <v>1070066359139270656</v>
      </c>
      <c r="F2040" s="13" t="s">
        <v>8094</v>
      </c>
      <c r="G2040" s="11"/>
      <c r="H2040" s="11"/>
      <c r="I2040" s="14">
        <v>0</v>
      </c>
      <c r="J2040" s="14">
        <v>0</v>
      </c>
      <c r="K2040" s="15" t="str">
        <f>HYPERLINK("https://ifttt.com","IFTTT")</f>
        <v>IFTTT</v>
      </c>
      <c r="L2040" s="14">
        <v>61</v>
      </c>
      <c r="M2040" s="14">
        <v>3</v>
      </c>
      <c r="N2040" s="14">
        <v>12</v>
      </c>
      <c r="O2040" s="16"/>
      <c r="P2040" s="6">
        <v>42261.681203703702</v>
      </c>
      <c r="Q2040" s="11"/>
      <c r="R2040" s="18"/>
      <c r="S2040" s="11"/>
      <c r="T2040" s="11"/>
      <c r="U2040" s="10" t="str">
        <f>HYPERLINK("https://pbs.twimg.com/profile_images/755670861819047937/3YnQFVdp.jpg","View")</f>
        <v>View</v>
      </c>
    </row>
    <row r="2041" spans="1:21" ht="91.8">
      <c r="A2041" s="6">
        <v>43438.933668981481</v>
      </c>
      <c r="B2041" s="7" t="str">
        <f>HYPERLINK("https://twitter.com/smarttcom","@smarttcom")</f>
        <v>@smarttcom</v>
      </c>
      <c r="C2041" s="8" t="s">
        <v>3309</v>
      </c>
      <c r="D2041" s="9" t="s">
        <v>6611</v>
      </c>
      <c r="E2041" s="10" t="str">
        <f>HYPERLINK("https://twitter.com/smarttcom/status/1070066334900342786","1070066334900342786")</f>
        <v>1070066334900342786</v>
      </c>
      <c r="F2041" s="13" t="s">
        <v>6173</v>
      </c>
      <c r="G2041" s="11"/>
      <c r="H2041" s="11"/>
      <c r="I2041" s="14">
        <v>0</v>
      </c>
      <c r="J2041" s="14">
        <v>0</v>
      </c>
      <c r="K2041" s="15" t="str">
        <f>HYPERLINK("http://twitter.com/download/android","Twitter for Android")</f>
        <v>Twitter for Android</v>
      </c>
      <c r="L2041" s="14">
        <v>3030</v>
      </c>
      <c r="M2041" s="14">
        <v>4994</v>
      </c>
      <c r="N2041" s="14">
        <v>52</v>
      </c>
      <c r="O2041" s="16"/>
      <c r="P2041" s="6">
        <v>40532.785752314812</v>
      </c>
      <c r="Q2041" s="11"/>
      <c r="R2041" s="17" t="s">
        <v>3312</v>
      </c>
      <c r="S2041" s="11"/>
      <c r="T2041" s="11"/>
      <c r="U2041" s="10" t="str">
        <f>HYPERLINK("https://pbs.twimg.com/profile_images/1070363232005709824/bbC5E6s9.jpg","View")</f>
        <v>View</v>
      </c>
    </row>
    <row r="2042" spans="1:21" ht="40.799999999999997">
      <c r="A2042" s="6">
        <v>43438.932928240742</v>
      </c>
      <c r="B2042" s="7" t="str">
        <f>HYPERLINK("https://twitter.com/marianofake","@marianofake")</f>
        <v>@marianofake</v>
      </c>
      <c r="C2042" s="8" t="s">
        <v>3604</v>
      </c>
      <c r="D2042" s="9" t="s">
        <v>8105</v>
      </c>
      <c r="E2042" s="10" t="str">
        <f>HYPERLINK("https://twitter.com/marianofake/status/1070066066662010881","1070066066662010881")</f>
        <v>1070066066662010881</v>
      </c>
      <c r="F2042" s="11"/>
      <c r="G2042" s="11"/>
      <c r="H2042" s="11"/>
      <c r="I2042" s="14">
        <v>1</v>
      </c>
      <c r="J2042" s="14">
        <v>5</v>
      </c>
      <c r="K2042" s="15" t="str">
        <f>HYPERLINK("https://mobile.twitter.com","Twitter Lite")</f>
        <v>Twitter Lite</v>
      </c>
      <c r="L2042" s="14">
        <v>6144</v>
      </c>
      <c r="M2042" s="14">
        <v>3153</v>
      </c>
      <c r="N2042" s="14">
        <v>19</v>
      </c>
      <c r="O2042" s="16"/>
      <c r="P2042" s="6">
        <v>42101.675752314812</v>
      </c>
      <c r="Q2042" s="11"/>
      <c r="R2042" s="17" t="s">
        <v>3607</v>
      </c>
      <c r="S2042" s="11"/>
      <c r="T2042" s="11"/>
      <c r="U2042" s="10" t="str">
        <f>HYPERLINK("https://pbs.twimg.com/profile_images/865123852795367424/p4pK2M21.jpg","View")</f>
        <v>View</v>
      </c>
    </row>
    <row r="2043" spans="1:21" ht="30.6">
      <c r="A2043" s="6">
        <v>43438.931331018517</v>
      </c>
      <c r="B2043" s="7" t="str">
        <f>HYPERLINK("https://twitter.com/aquilavida","@aquilavida")</f>
        <v>@aquilavida</v>
      </c>
      <c r="C2043" s="8" t="s">
        <v>8108</v>
      </c>
      <c r="D2043" s="9" t="s">
        <v>8109</v>
      </c>
      <c r="E2043" s="10" t="str">
        <f>HYPERLINK("https://twitter.com/aquilavida/status/1070065487776768001","1070065487776768001")</f>
        <v>1070065487776768001</v>
      </c>
      <c r="F2043" s="13" t="s">
        <v>8094</v>
      </c>
      <c r="G2043" s="11"/>
      <c r="H2043" s="11"/>
      <c r="I2043" s="14">
        <v>0</v>
      </c>
      <c r="J2043" s="14">
        <v>0</v>
      </c>
      <c r="K2043" s="15" t="str">
        <f>HYPERLINK("https://ifttt.com","IFTTT")</f>
        <v>IFTTT</v>
      </c>
      <c r="L2043" s="14">
        <v>235</v>
      </c>
      <c r="M2043" s="14">
        <v>233</v>
      </c>
      <c r="N2043" s="14">
        <v>55</v>
      </c>
      <c r="O2043" s="16"/>
      <c r="P2043" s="6">
        <v>40665.698576388888</v>
      </c>
      <c r="Q2043" s="12" t="s">
        <v>29</v>
      </c>
      <c r="R2043" s="17" t="s">
        <v>8113</v>
      </c>
      <c r="S2043" s="11"/>
      <c r="T2043" s="11"/>
      <c r="U2043" s="10" t="str">
        <f>HYPERLINK("https://pbs.twimg.com/profile_images/1658515048/image.jpg","View")</f>
        <v>View</v>
      </c>
    </row>
    <row r="2044" spans="1:21" ht="51">
      <c r="A2044" s="6">
        <v>43438.925543981481</v>
      </c>
      <c r="B2044" s="7" t="str">
        <f>HYPERLINK("https://twitter.com/Ojiplatico2018","@Ojiplatico2018")</f>
        <v>@Ojiplatico2018</v>
      </c>
      <c r="C2044" s="8" t="s">
        <v>3274</v>
      </c>
      <c r="D2044" s="9" t="s">
        <v>6617</v>
      </c>
      <c r="E2044" s="10" t="str">
        <f>HYPERLINK("https://twitter.com/Ojiplatico2018/status/1070063390297604096","1070063390297604096")</f>
        <v>1070063390297604096</v>
      </c>
      <c r="F2044" s="13" t="s">
        <v>6618</v>
      </c>
      <c r="G2044" s="11"/>
      <c r="H2044" s="11"/>
      <c r="I2044" s="14">
        <v>0</v>
      </c>
      <c r="J2044" s="14">
        <v>1</v>
      </c>
      <c r="K2044" s="15" t="str">
        <f>HYPERLINK("http://twitter.com/download/android","Twitter for Android")</f>
        <v>Twitter for Android</v>
      </c>
      <c r="L2044" s="14">
        <v>447</v>
      </c>
      <c r="M2044" s="14">
        <v>487</v>
      </c>
      <c r="N2044" s="14">
        <v>2</v>
      </c>
      <c r="O2044" s="16"/>
      <c r="P2044" s="6">
        <v>43208.61518518519</v>
      </c>
      <c r="Q2044" s="11"/>
      <c r="R2044" s="17" t="s">
        <v>3276</v>
      </c>
      <c r="S2044" s="11"/>
      <c r="T2044" s="11"/>
      <c r="U2044" s="10" t="str">
        <f>HYPERLINK("https://pbs.twimg.com/profile_images/986589222269280256/MZfsDuMx.jpg","View")</f>
        <v>View</v>
      </c>
    </row>
    <row r="2045" spans="1:21" ht="20.399999999999999">
      <c r="A2045" s="6">
        <v>43438.925104166672</v>
      </c>
      <c r="B2045" s="7" t="str">
        <f>HYPERLINK("https://twitter.com/alenkhat","@alenkhat")</f>
        <v>@alenkhat</v>
      </c>
      <c r="C2045" s="8" t="s">
        <v>8116</v>
      </c>
      <c r="D2045" s="9" t="s">
        <v>8117</v>
      </c>
      <c r="E2045" s="10" t="str">
        <f>HYPERLINK("https://twitter.com/alenkhat/status/1070063228259065856","1070063228259065856")</f>
        <v>1070063228259065856</v>
      </c>
      <c r="F2045" s="11"/>
      <c r="G2045" s="11"/>
      <c r="H2045" s="11"/>
      <c r="I2045" s="14">
        <v>1</v>
      </c>
      <c r="J2045" s="14">
        <v>6</v>
      </c>
      <c r="K2045" s="15" t="str">
        <f t="shared" ref="K2045:K2046" si="399">HYPERLINK("http://twitter.com/download/iphone","Twitter for iPhone")</f>
        <v>Twitter for iPhone</v>
      </c>
      <c r="L2045" s="14">
        <v>279</v>
      </c>
      <c r="M2045" s="14">
        <v>268</v>
      </c>
      <c r="N2045" s="14">
        <v>3</v>
      </c>
      <c r="O2045" s="16"/>
      <c r="P2045" s="6">
        <v>40440.711400462962</v>
      </c>
      <c r="Q2045" s="12" t="s">
        <v>8118</v>
      </c>
      <c r="R2045" s="17" t="s">
        <v>8119</v>
      </c>
      <c r="S2045" s="11"/>
      <c r="T2045" s="11"/>
      <c r="U2045" s="10" t="str">
        <f>HYPERLINK("https://pbs.twimg.com/profile_images/928196957088174080/Oql4OpaB.jpg","View")</f>
        <v>View</v>
      </c>
    </row>
    <row r="2046" spans="1:21" ht="40.799999999999997">
      <c r="A2046" s="6">
        <v>43438.924432870372</v>
      </c>
      <c r="B2046" s="7" t="str">
        <f>HYPERLINK("https://twitter.com/juanlulacala","@juanlulacala")</f>
        <v>@juanlulacala</v>
      </c>
      <c r="C2046" s="8" t="s">
        <v>6619</v>
      </c>
      <c r="D2046" s="9" t="s">
        <v>6620</v>
      </c>
      <c r="E2046" s="10" t="str">
        <f>HYPERLINK("https://twitter.com/juanlulacala/status/1070062986780397568","1070062986780397568")</f>
        <v>1070062986780397568</v>
      </c>
      <c r="F2046" s="11"/>
      <c r="G2046" s="13" t="s">
        <v>6621</v>
      </c>
      <c r="H2046" s="11"/>
      <c r="I2046" s="14">
        <v>1</v>
      </c>
      <c r="J2046" s="14">
        <v>3</v>
      </c>
      <c r="K2046" s="15" t="str">
        <f t="shared" si="399"/>
        <v>Twitter for iPhone</v>
      </c>
      <c r="L2046" s="14">
        <v>1257</v>
      </c>
      <c r="M2046" s="14">
        <v>1384</v>
      </c>
      <c r="N2046" s="14">
        <v>9</v>
      </c>
      <c r="O2046" s="16"/>
      <c r="P2046" s="6">
        <v>40649.68949074074</v>
      </c>
      <c r="Q2046" s="11"/>
      <c r="R2046" s="17" t="s">
        <v>6622</v>
      </c>
      <c r="S2046" s="11"/>
      <c r="T2046" s="11"/>
      <c r="U2046" s="10" t="str">
        <f>HYPERLINK("https://pbs.twimg.com/profile_images/2260838522/image.jpg","View")</f>
        <v>View</v>
      </c>
    </row>
    <row r="2047" spans="1:21" ht="61.2">
      <c r="A2047" s="6">
        <v>43438.924409722225</v>
      </c>
      <c r="B2047" s="7" t="str">
        <f>HYPERLINK("https://twitter.com/JuanitoCabeza","@JuanitoCabeza")</f>
        <v>@JuanitoCabeza</v>
      </c>
      <c r="C2047" s="8" t="s">
        <v>6623</v>
      </c>
      <c r="D2047" s="9" t="s">
        <v>6624</v>
      </c>
      <c r="E2047" s="10" t="str">
        <f>HYPERLINK("https://twitter.com/JuanitoCabeza/status/1070062980082135040","1070062980082135040")</f>
        <v>1070062980082135040</v>
      </c>
      <c r="F2047" s="11"/>
      <c r="G2047" s="11"/>
      <c r="H2047" s="11"/>
      <c r="I2047" s="14">
        <v>1</v>
      </c>
      <c r="J2047" s="14">
        <v>1</v>
      </c>
      <c r="K2047" s="15" t="str">
        <f t="shared" ref="K2047:K2048" si="400">HYPERLINK("http://twitter.com","Twitter Web Client")</f>
        <v>Twitter Web Client</v>
      </c>
      <c r="L2047" s="14">
        <v>100</v>
      </c>
      <c r="M2047" s="14">
        <v>83</v>
      </c>
      <c r="N2047" s="14">
        <v>2</v>
      </c>
      <c r="O2047" s="16"/>
      <c r="P2047" s="6">
        <v>42761.532199074078</v>
      </c>
      <c r="Q2047" s="12" t="s">
        <v>969</v>
      </c>
      <c r="R2047" s="17" t="s">
        <v>6625</v>
      </c>
      <c r="S2047" s="11"/>
      <c r="T2047" s="11"/>
      <c r="U2047" s="10" t="str">
        <f>HYPERLINK("https://pbs.twimg.com/profile_images/824972071864262657/Ar3uv-dg.jpg","View")</f>
        <v>View</v>
      </c>
    </row>
    <row r="2048" spans="1:21" ht="30.6">
      <c r="A2048" s="6">
        <v>43438.919895833329</v>
      </c>
      <c r="B2048" s="7" t="str">
        <f>HYPERLINK("https://twitter.com/DeConsulat","@DeConsulat")</f>
        <v>@DeConsulat</v>
      </c>
      <c r="C2048" s="8" t="s">
        <v>6626</v>
      </c>
      <c r="D2048" s="9" t="s">
        <v>6627</v>
      </c>
      <c r="E2048" s="10" t="str">
        <f>HYPERLINK("https://twitter.com/DeConsulat/status/1070061343695429638","1070061343695429638")</f>
        <v>1070061343695429638</v>
      </c>
      <c r="F2048" s="11"/>
      <c r="G2048" s="11"/>
      <c r="H2048" s="11"/>
      <c r="I2048" s="14">
        <v>0</v>
      </c>
      <c r="J2048" s="14">
        <v>0</v>
      </c>
      <c r="K2048" s="15" t="str">
        <f t="shared" si="400"/>
        <v>Twitter Web Client</v>
      </c>
      <c r="L2048" s="14">
        <v>1271</v>
      </c>
      <c r="M2048" s="14">
        <v>1072</v>
      </c>
      <c r="N2048" s="14">
        <v>10</v>
      </c>
      <c r="O2048" s="16"/>
      <c r="P2048" s="6">
        <v>43250.841712962967</v>
      </c>
      <c r="Q2048" s="12" t="s">
        <v>6628</v>
      </c>
      <c r="R2048" s="18"/>
      <c r="S2048" s="11"/>
      <c r="T2048" s="11"/>
      <c r="U2048" s="10" t="str">
        <f>HYPERLINK("https://pbs.twimg.com/profile_images/1001890021778055168/f7CLUX_9.jpg","View")</f>
        <v>View</v>
      </c>
    </row>
    <row r="2049" spans="1:21" ht="20.399999999999999">
      <c r="A2049" s="6">
        <v>43438.919456018513</v>
      </c>
      <c r="B2049" s="7" t="str">
        <f>HYPERLINK("https://twitter.com/manuelfordalva1","@manuelfordalva1")</f>
        <v>@manuelfordalva1</v>
      </c>
      <c r="C2049" s="8" t="s">
        <v>8126</v>
      </c>
      <c r="D2049" s="9" t="s">
        <v>8127</v>
      </c>
      <c r="E2049" s="10" t="str">
        <f>HYPERLINK("https://twitter.com/manuelfordalva1/status/1070061184223772672","1070061184223772672")</f>
        <v>1070061184223772672</v>
      </c>
      <c r="F2049" s="13" t="s">
        <v>8128</v>
      </c>
      <c r="G2049" s="11"/>
      <c r="H2049" s="11"/>
      <c r="I2049" s="14">
        <v>0</v>
      </c>
      <c r="J2049" s="14">
        <v>0</v>
      </c>
      <c r="K2049" s="15" t="str">
        <f t="shared" ref="K2049:K2051" si="401">HYPERLINK("http://twitter.com/download/android","Twitter for Android")</f>
        <v>Twitter for Android</v>
      </c>
      <c r="L2049" s="14">
        <v>160</v>
      </c>
      <c r="M2049" s="14">
        <v>452</v>
      </c>
      <c r="N2049" s="14">
        <v>3</v>
      </c>
      <c r="O2049" s="16"/>
      <c r="P2049" s="6">
        <v>41953.971215277779</v>
      </c>
      <c r="Q2049" s="12" t="s">
        <v>8130</v>
      </c>
      <c r="R2049" s="18"/>
      <c r="S2049" s="11"/>
      <c r="T2049" s="11"/>
      <c r="U2049" s="19" t="s">
        <v>629</v>
      </c>
    </row>
    <row r="2050" spans="1:21" ht="51">
      <c r="A2050" s="6">
        <v>43438.917546296296</v>
      </c>
      <c r="B2050" s="7" t="str">
        <f>HYPERLINK("https://twitter.com/dianamataix","@dianamataix")</f>
        <v>@dianamataix</v>
      </c>
      <c r="C2050" s="8" t="s">
        <v>8132</v>
      </c>
      <c r="D2050" s="9" t="s">
        <v>8133</v>
      </c>
      <c r="E2050" s="10" t="str">
        <f>HYPERLINK("https://twitter.com/dianamataix/status/1070060490380988416","1070060490380988416")</f>
        <v>1070060490380988416</v>
      </c>
      <c r="F2050" s="13" t="s">
        <v>8134</v>
      </c>
      <c r="G2050" s="11"/>
      <c r="H2050" s="11"/>
      <c r="I2050" s="14">
        <v>2</v>
      </c>
      <c r="J2050" s="14">
        <v>8</v>
      </c>
      <c r="K2050" s="15" t="str">
        <f t="shared" si="401"/>
        <v>Twitter for Android</v>
      </c>
      <c r="L2050" s="14">
        <v>814</v>
      </c>
      <c r="M2050" s="14">
        <v>1032</v>
      </c>
      <c r="N2050" s="14">
        <v>0</v>
      </c>
      <c r="O2050" s="16"/>
      <c r="P2050" s="6">
        <v>42685.684710648144</v>
      </c>
      <c r="Q2050" s="11"/>
      <c r="R2050" s="17" t="s">
        <v>8135</v>
      </c>
      <c r="S2050" s="11"/>
      <c r="T2050" s="11"/>
      <c r="U2050" s="10" t="str">
        <f>HYPERLINK("https://pbs.twimg.com/profile_images/1069208112782090240/B9lp-dsp.jpg","View")</f>
        <v>View</v>
      </c>
    </row>
    <row r="2051" spans="1:21" ht="51">
      <c r="A2051" s="6">
        <v>43438.909791666665</v>
      </c>
      <c r="B2051" s="7" t="str">
        <f>HYPERLINK("https://twitter.com/migueldherrer81","@migueldherrer81")</f>
        <v>@migueldherrer81</v>
      </c>
      <c r="C2051" s="8" t="s">
        <v>8136</v>
      </c>
      <c r="D2051" s="9" t="s">
        <v>8137</v>
      </c>
      <c r="E2051" s="10" t="str">
        <f>HYPERLINK("https://twitter.com/migueldherrer81/status/1070057679119360000","1070057679119360000")</f>
        <v>1070057679119360000</v>
      </c>
      <c r="F2051" s="11"/>
      <c r="G2051" s="11"/>
      <c r="H2051" s="11"/>
      <c r="I2051" s="14">
        <v>0</v>
      </c>
      <c r="J2051" s="14">
        <v>1</v>
      </c>
      <c r="K2051" s="15" t="str">
        <f t="shared" si="401"/>
        <v>Twitter for Android</v>
      </c>
      <c r="L2051" s="14">
        <v>352</v>
      </c>
      <c r="M2051" s="14">
        <v>927</v>
      </c>
      <c r="N2051" s="14">
        <v>3</v>
      </c>
      <c r="O2051" s="16"/>
      <c r="P2051" s="6">
        <v>42542.400902777779</v>
      </c>
      <c r="Q2051" s="12" t="s">
        <v>8140</v>
      </c>
      <c r="R2051" s="17" t="s">
        <v>8141</v>
      </c>
      <c r="S2051" s="11"/>
      <c r="T2051" s="11"/>
      <c r="U2051" s="10" t="str">
        <f>HYPERLINK("https://pbs.twimg.com/profile_images/893211656179798016/Rd4wlcwP.jpg","View")</f>
        <v>View</v>
      </c>
    </row>
    <row r="2052" spans="1:21" ht="61.2">
      <c r="A2052" s="6">
        <v>43438.908842592587</v>
      </c>
      <c r="B2052" s="7" t="str">
        <f>HYPERLINK("https://twitter.com/Controleitor","@Controleitor")</f>
        <v>@Controleitor</v>
      </c>
      <c r="C2052" s="8" t="s">
        <v>6631</v>
      </c>
      <c r="D2052" s="9" t="s">
        <v>6632</v>
      </c>
      <c r="E2052" s="10" t="str">
        <f>HYPERLINK("https://twitter.com/Controleitor/status/1070057338395131905","1070057338395131905")</f>
        <v>1070057338395131905</v>
      </c>
      <c r="F2052" s="12" t="s">
        <v>6634</v>
      </c>
      <c r="G2052" s="11"/>
      <c r="H2052" s="11"/>
      <c r="I2052" s="14">
        <v>0</v>
      </c>
      <c r="J2052" s="14">
        <v>0</v>
      </c>
      <c r="K2052" s="15" t="str">
        <f>HYPERLINK("http://twitter.com/download/iphone","Twitter for iPhone")</f>
        <v>Twitter for iPhone</v>
      </c>
      <c r="L2052" s="14">
        <v>3192</v>
      </c>
      <c r="M2052" s="14">
        <v>693</v>
      </c>
      <c r="N2052" s="14">
        <v>63</v>
      </c>
      <c r="O2052" s="16"/>
      <c r="P2052" s="6">
        <v>40853.931423611109</v>
      </c>
      <c r="Q2052" s="11"/>
      <c r="R2052" s="18"/>
      <c r="S2052" s="11"/>
      <c r="T2052" s="11"/>
      <c r="U2052" s="10" t="str">
        <f>HYPERLINK("https://pbs.twimg.com/profile_images/1008077645865680903/ZjMX-7lX.jpg","View")</f>
        <v>View</v>
      </c>
    </row>
    <row r="2053" spans="1:21" ht="91.8">
      <c r="A2053" s="6">
        <v>43438.90829861111</v>
      </c>
      <c r="B2053" s="7" t="str">
        <f>HYPERLINK("https://twitter.com/DaniMullor","@DaniMullor")</f>
        <v>@DaniMullor</v>
      </c>
      <c r="C2053" s="8" t="s">
        <v>6638</v>
      </c>
      <c r="D2053" s="9" t="s">
        <v>6639</v>
      </c>
      <c r="E2053" s="10" t="str">
        <f>HYPERLINK("https://twitter.com/DaniMullor/status/1070057139908108288","1070057139908108288")</f>
        <v>1070057139908108288</v>
      </c>
      <c r="F2053" s="13" t="s">
        <v>6640</v>
      </c>
      <c r="G2053" s="13" t="s">
        <v>6641</v>
      </c>
      <c r="H2053" s="11"/>
      <c r="I2053" s="14">
        <v>0</v>
      </c>
      <c r="J2053" s="14">
        <v>0</v>
      </c>
      <c r="K2053" s="15" t="str">
        <f>HYPERLINK("http://twitter.com/download/android","Twitter for Android")</f>
        <v>Twitter for Android</v>
      </c>
      <c r="L2053" s="14">
        <v>1768</v>
      </c>
      <c r="M2053" s="14">
        <v>2250</v>
      </c>
      <c r="N2053" s="14">
        <v>17</v>
      </c>
      <c r="O2053" s="16"/>
      <c r="P2053" s="6">
        <v>40460.977824074071</v>
      </c>
      <c r="Q2053" s="12" t="s">
        <v>29</v>
      </c>
      <c r="R2053" s="17" t="s">
        <v>6642</v>
      </c>
      <c r="S2053" s="11"/>
      <c r="T2053" s="11"/>
      <c r="U2053" s="10" t="str">
        <f>HYPERLINK("https://pbs.twimg.com/profile_images/868919017444167681/9gAw45S7.jpg","View")</f>
        <v>View</v>
      </c>
    </row>
    <row r="2054" spans="1:21" ht="51">
      <c r="A2054" s="6">
        <v>43438.907997685186</v>
      </c>
      <c r="B2054" s="7" t="str">
        <f>HYPERLINK("https://twitter.com/MaragallBCN","@MaragallBCN")</f>
        <v>@MaragallBCN</v>
      </c>
      <c r="C2054" s="8" t="s">
        <v>6645</v>
      </c>
      <c r="D2054" s="9" t="s">
        <v>6646</v>
      </c>
      <c r="E2054" s="10" t="str">
        <f>HYPERLINK("https://twitter.com/MaragallBCN/status/1070057031351132160","1070057031351132160")</f>
        <v>1070057031351132160</v>
      </c>
      <c r="F2054" s="11"/>
      <c r="G2054" s="11"/>
      <c r="H2054" s="11"/>
      <c r="I2054" s="14">
        <v>0</v>
      </c>
      <c r="J2054" s="14">
        <v>0</v>
      </c>
      <c r="K2054" s="15" t="str">
        <f t="shared" ref="K2054:K2055" si="402">HYPERLINK("http://twitter.com","Twitter Web Client")</f>
        <v>Twitter Web Client</v>
      </c>
      <c r="L2054" s="14">
        <v>66</v>
      </c>
      <c r="M2054" s="14">
        <v>146</v>
      </c>
      <c r="N2054" s="14">
        <v>5</v>
      </c>
      <c r="O2054" s="16"/>
      <c r="P2054" s="6">
        <v>42424.904502314814</v>
      </c>
      <c r="Q2054" s="12" t="s">
        <v>1785</v>
      </c>
      <c r="R2054" s="17" t="s">
        <v>6649</v>
      </c>
      <c r="S2054" s="11"/>
      <c r="T2054" s="11"/>
      <c r="U2054" s="10" t="str">
        <f>HYPERLINK("https://pbs.twimg.com/profile_images/987791544613785606/oi3k1D67.jpg","View")</f>
        <v>View</v>
      </c>
    </row>
    <row r="2055" spans="1:21" ht="30.6">
      <c r="A2055" s="6">
        <v>43438.906678240739</v>
      </c>
      <c r="B2055" s="7" t="str">
        <f>HYPERLINK("https://twitter.com/carrillo_manolo","@carrillo_manolo")</f>
        <v>@carrillo_manolo</v>
      </c>
      <c r="C2055" s="8" t="s">
        <v>2016</v>
      </c>
      <c r="D2055" s="9" t="s">
        <v>6650</v>
      </c>
      <c r="E2055" s="10" t="str">
        <f>HYPERLINK("https://twitter.com/carrillo_manolo/status/1070056552151875584","1070056552151875584")</f>
        <v>1070056552151875584</v>
      </c>
      <c r="F2055" s="11"/>
      <c r="G2055" s="11"/>
      <c r="H2055" s="11"/>
      <c r="I2055" s="14">
        <v>2</v>
      </c>
      <c r="J2055" s="14">
        <v>2</v>
      </c>
      <c r="K2055" s="15" t="str">
        <f t="shared" si="402"/>
        <v>Twitter Web Client</v>
      </c>
      <c r="L2055" s="14">
        <v>230</v>
      </c>
      <c r="M2055" s="14">
        <v>355</v>
      </c>
      <c r="N2055" s="14">
        <v>5</v>
      </c>
      <c r="O2055" s="16"/>
      <c r="P2055" s="6">
        <v>40884.822743055556</v>
      </c>
      <c r="Q2055" s="12" t="s">
        <v>2024</v>
      </c>
      <c r="R2055" s="17" t="s">
        <v>2025</v>
      </c>
      <c r="S2055" s="11"/>
      <c r="T2055" s="11"/>
      <c r="U2055" s="10" t="str">
        <f>HYPERLINK("https://pbs.twimg.com/profile_images/1679401912/image.jpg","View")</f>
        <v>View</v>
      </c>
    </row>
    <row r="2056" spans="1:21" ht="51">
      <c r="A2056" s="6">
        <v>43438.904826388884</v>
      </c>
      <c r="B2056" s="7" t="str">
        <f>HYPERLINK("https://twitter.com/JPOMBOPAK","@JPOMBOPAK")</f>
        <v>@JPOMBOPAK</v>
      </c>
      <c r="C2056" s="8" t="s">
        <v>6651</v>
      </c>
      <c r="D2056" s="9" t="s">
        <v>6652</v>
      </c>
      <c r="E2056" s="10" t="str">
        <f>HYPERLINK("https://twitter.com/JPOMBOPAK/status/1070055880643801089","1070055880643801089")</f>
        <v>1070055880643801089</v>
      </c>
      <c r="F2056" s="11"/>
      <c r="G2056" s="13" t="s">
        <v>6653</v>
      </c>
      <c r="H2056" s="11"/>
      <c r="I2056" s="14">
        <v>1</v>
      </c>
      <c r="J2056" s="14">
        <v>0</v>
      </c>
      <c r="K2056" s="15" t="str">
        <f t="shared" ref="K2056:K2059" si="403">HYPERLINK("http://twitter.com/download/android","Twitter for Android")</f>
        <v>Twitter for Android</v>
      </c>
      <c r="L2056" s="14">
        <v>4579</v>
      </c>
      <c r="M2056" s="14">
        <v>2986</v>
      </c>
      <c r="N2056" s="14">
        <v>43</v>
      </c>
      <c r="O2056" s="16"/>
      <c r="P2056" s="6">
        <v>40938.632858796293</v>
      </c>
      <c r="Q2056" s="12" t="s">
        <v>137</v>
      </c>
      <c r="R2056" s="17" t="s">
        <v>6654</v>
      </c>
      <c r="S2056" s="13" t="s">
        <v>6655</v>
      </c>
      <c r="T2056" s="11"/>
      <c r="U2056" s="10" t="str">
        <f>HYPERLINK("https://pbs.twimg.com/profile_images/1062413955811942400/J2jpuBPM.jpg","View")</f>
        <v>View</v>
      </c>
    </row>
    <row r="2057" spans="1:21" ht="51">
      <c r="A2057" s="6">
        <v>43438.902997685189</v>
      </c>
      <c r="B2057" s="7" t="str">
        <f>HYPERLINK("https://twitter.com/AlbertoSBlanco","@AlbertoSBlanco")</f>
        <v>@AlbertoSBlanco</v>
      </c>
      <c r="C2057" s="8" t="s">
        <v>2358</v>
      </c>
      <c r="D2057" s="9" t="s">
        <v>6656</v>
      </c>
      <c r="E2057" s="10" t="str">
        <f>HYPERLINK("https://twitter.com/AlbertoSBlanco/status/1070055220942651393","1070055220942651393")</f>
        <v>1070055220942651393</v>
      </c>
      <c r="F2057" s="11"/>
      <c r="G2057" s="11"/>
      <c r="H2057" s="11"/>
      <c r="I2057" s="14">
        <v>1</v>
      </c>
      <c r="J2057" s="14">
        <v>1</v>
      </c>
      <c r="K2057" s="15" t="str">
        <f t="shared" si="403"/>
        <v>Twitter for Android</v>
      </c>
      <c r="L2057" s="14">
        <v>2667</v>
      </c>
      <c r="M2057" s="14">
        <v>1400</v>
      </c>
      <c r="N2057" s="14">
        <v>33</v>
      </c>
      <c r="O2057" s="16"/>
      <c r="P2057" s="6">
        <v>40747.720636574071</v>
      </c>
      <c r="Q2057" s="11"/>
      <c r="R2057" s="17" t="s">
        <v>2361</v>
      </c>
      <c r="S2057" s="13" t="s">
        <v>2362</v>
      </c>
      <c r="T2057" s="11"/>
      <c r="U2057" s="10" t="str">
        <f>HYPERLINK("https://pbs.twimg.com/profile_images/966330983829135360/yRqQ0NN1.jpg","View")</f>
        <v>View</v>
      </c>
    </row>
    <row r="2058" spans="1:21" ht="40.799999999999997">
      <c r="A2058" s="6">
        <v>43438.902465277773</v>
      </c>
      <c r="B2058" s="7" t="str">
        <f>HYPERLINK("https://twitter.com/Francis98204014","@Francis98204014")</f>
        <v>@Francis98204014</v>
      </c>
      <c r="C2058" s="8" t="s">
        <v>286</v>
      </c>
      <c r="D2058" s="9" t="s">
        <v>8153</v>
      </c>
      <c r="E2058" s="10" t="str">
        <f>HYPERLINK("https://twitter.com/Francis98204014/status/1070055024234020866","1070055024234020866")</f>
        <v>1070055024234020866</v>
      </c>
      <c r="F2058" s="11"/>
      <c r="G2058" s="13" t="s">
        <v>8155</v>
      </c>
      <c r="H2058" s="11"/>
      <c r="I2058" s="14">
        <v>3</v>
      </c>
      <c r="J2058" s="14">
        <v>1</v>
      </c>
      <c r="K2058" s="15" t="str">
        <f t="shared" si="403"/>
        <v>Twitter for Android</v>
      </c>
      <c r="L2058" s="14">
        <v>5457</v>
      </c>
      <c r="M2058" s="14">
        <v>5195</v>
      </c>
      <c r="N2058" s="14">
        <v>79</v>
      </c>
      <c r="O2058" s="16"/>
      <c r="P2058" s="6">
        <v>42023.979328703703</v>
      </c>
      <c r="Q2058" s="11"/>
      <c r="R2058" s="18"/>
      <c r="S2058" s="11"/>
      <c r="T2058" s="11"/>
      <c r="U2058" s="10" t="str">
        <f>HYPERLINK("https://pbs.twimg.com/profile_images/557305420625502208/DgZmRbYl.jpeg","View")</f>
        <v>View</v>
      </c>
    </row>
    <row r="2059" spans="1:21" ht="91.8">
      <c r="A2059" s="6">
        <v>43438.901261574079</v>
      </c>
      <c r="B2059" s="7" t="str">
        <f>HYPERLINK("https://twitter.com/JoelPS33","@JoelPS33")</f>
        <v>@JoelPS33</v>
      </c>
      <c r="C2059" s="8" t="s">
        <v>6658</v>
      </c>
      <c r="D2059" s="9" t="s">
        <v>6659</v>
      </c>
      <c r="E2059" s="10" t="str">
        <f>HYPERLINK("https://twitter.com/JoelPS33/status/1070054590006083584","1070054590006083584")</f>
        <v>1070054590006083584</v>
      </c>
      <c r="F2059" s="13" t="s">
        <v>6660</v>
      </c>
      <c r="G2059" s="13" t="s">
        <v>6661</v>
      </c>
      <c r="H2059" s="11"/>
      <c r="I2059" s="14">
        <v>0</v>
      </c>
      <c r="J2059" s="14">
        <v>1</v>
      </c>
      <c r="K2059" s="15" t="str">
        <f t="shared" si="403"/>
        <v>Twitter for Android</v>
      </c>
      <c r="L2059" s="14">
        <v>178</v>
      </c>
      <c r="M2059" s="14">
        <v>210</v>
      </c>
      <c r="N2059" s="14">
        <v>3</v>
      </c>
      <c r="O2059" s="16"/>
      <c r="P2059" s="6">
        <v>40343.632268518515</v>
      </c>
      <c r="Q2059" s="12" t="s">
        <v>6662</v>
      </c>
      <c r="R2059" s="17" t="s">
        <v>6663</v>
      </c>
      <c r="S2059" s="13" t="s">
        <v>6664</v>
      </c>
      <c r="T2059" s="11"/>
      <c r="U2059" s="10" t="str">
        <f>HYPERLINK("https://pbs.twimg.com/profile_images/940773592081551360/__eG5nFX.jpg","View")</f>
        <v>View</v>
      </c>
    </row>
    <row r="2060" spans="1:21" ht="30.6">
      <c r="A2060" s="6">
        <v>43438.900810185187</v>
      </c>
      <c r="B2060" s="7" t="str">
        <f>HYPERLINK("https://twitter.com/ARREBOL_ARP","@ARREBOL_ARP")</f>
        <v>@ARREBOL_ARP</v>
      </c>
      <c r="C2060" s="8" t="s">
        <v>6667</v>
      </c>
      <c r="D2060" s="9" t="s">
        <v>6668</v>
      </c>
      <c r="E2060" s="10" t="str">
        <f>HYPERLINK("https://twitter.com/ARREBOL_ARP/status/1070054424901505024","1070054424901505024")</f>
        <v>1070054424901505024</v>
      </c>
      <c r="F2060" s="13" t="s">
        <v>6669</v>
      </c>
      <c r="G2060" s="11"/>
      <c r="H2060" s="11"/>
      <c r="I2060" s="14">
        <v>0</v>
      </c>
      <c r="J2060" s="14">
        <v>0</v>
      </c>
      <c r="K2060" s="15" t="str">
        <f>HYPERLINK("http://twitter.com/#!/download/ipad","Twitter for iPad")</f>
        <v>Twitter for iPad</v>
      </c>
      <c r="L2060" s="14">
        <v>3767</v>
      </c>
      <c r="M2060" s="14">
        <v>2877</v>
      </c>
      <c r="N2060" s="14">
        <v>62</v>
      </c>
      <c r="O2060" s="16"/>
      <c r="P2060" s="6">
        <v>41199.581712962965</v>
      </c>
      <c r="Q2060" s="12" t="s">
        <v>6671</v>
      </c>
      <c r="R2060" s="17" t="s">
        <v>6672</v>
      </c>
      <c r="S2060" s="13" t="s">
        <v>6673</v>
      </c>
      <c r="T2060" s="11"/>
      <c r="U2060" s="10" t="str">
        <f>HYPERLINK("https://pbs.twimg.com/profile_images/680438094529740800/iVsr4aXZ.jpg","View")</f>
        <v>View</v>
      </c>
    </row>
    <row r="2061" spans="1:21" ht="51">
      <c r="A2061" s="6">
        <v>43438.900590277779</v>
      </c>
      <c r="B2061" s="7" t="str">
        <f>HYPERLINK("https://twitter.com/amontinsua","@amontinsua")</f>
        <v>@amontinsua</v>
      </c>
      <c r="C2061" s="8" t="s">
        <v>229</v>
      </c>
      <c r="D2061" s="9" t="s">
        <v>230</v>
      </c>
      <c r="E2061" s="10" t="str">
        <f>HYPERLINK("https://twitter.com/amontinsua/status/1070054345624952837","1070054345624952837")</f>
        <v>1070054345624952837</v>
      </c>
      <c r="F2061" s="11"/>
      <c r="G2061" s="11"/>
      <c r="H2061" s="11"/>
      <c r="I2061" s="14">
        <v>0</v>
      </c>
      <c r="J2061" s="14">
        <v>0</v>
      </c>
      <c r="K2061" s="15" t="str">
        <f t="shared" ref="K2061:K2063" si="404">HYPERLINK("http://twitter.com/download/android","Twitter for Android")</f>
        <v>Twitter for Android</v>
      </c>
      <c r="L2061" s="14">
        <v>951</v>
      </c>
      <c r="M2061" s="14">
        <v>3789</v>
      </c>
      <c r="N2061" s="14">
        <v>28</v>
      </c>
      <c r="O2061" s="16"/>
      <c r="P2061" s="6">
        <v>39762.011597222227</v>
      </c>
      <c r="Q2061" s="11"/>
      <c r="R2061" s="17" t="s">
        <v>236</v>
      </c>
      <c r="S2061" s="11"/>
      <c r="T2061" s="11"/>
      <c r="U2061" s="10" t="str">
        <f>HYPERLINK("https://pbs.twimg.com/profile_images/575010133069033472/LjvGjXeF.jpeg","View")</f>
        <v>View</v>
      </c>
    </row>
    <row r="2062" spans="1:21" ht="30.6">
      <c r="A2062" s="6">
        <v>43438.899849537032</v>
      </c>
      <c r="B2062" s="7" t="str">
        <f>HYPERLINK("https://twitter.com/IamMarcNewton","@IamMarcNewton")</f>
        <v>@IamMarcNewton</v>
      </c>
      <c r="C2062" s="8" t="s">
        <v>8165</v>
      </c>
      <c r="D2062" s="9" t="s">
        <v>8166</v>
      </c>
      <c r="E2062" s="10" t="str">
        <f>HYPERLINK("https://twitter.com/IamMarcNewton/status/1070054077374062597","1070054077374062597")</f>
        <v>1070054077374062597</v>
      </c>
      <c r="F2062" s="11"/>
      <c r="G2062" s="11"/>
      <c r="H2062" s="11"/>
      <c r="I2062" s="14">
        <v>0</v>
      </c>
      <c r="J2062" s="14">
        <v>0</v>
      </c>
      <c r="K2062" s="15" t="str">
        <f t="shared" si="404"/>
        <v>Twitter for Android</v>
      </c>
      <c r="L2062" s="14">
        <v>1</v>
      </c>
      <c r="M2062" s="14">
        <v>45</v>
      </c>
      <c r="N2062" s="14">
        <v>0</v>
      </c>
      <c r="O2062" s="16"/>
      <c r="P2062" s="6">
        <v>43383.820162037038</v>
      </c>
      <c r="Q2062" s="12" t="s">
        <v>83</v>
      </c>
      <c r="R2062" s="17" t="s">
        <v>8168</v>
      </c>
      <c r="S2062" s="11"/>
      <c r="T2062" s="11"/>
      <c r="U2062" s="10" t="str">
        <f>HYPERLINK("https://pbs.twimg.com/profile_images/1050141850491863040/yBcDX5AW.jpg","View")</f>
        <v>View</v>
      </c>
    </row>
    <row r="2063" spans="1:21" ht="61.2">
      <c r="A2063" s="6">
        <v>43438.899363425924</v>
      </c>
      <c r="B2063" s="7" t="str">
        <f>HYPERLINK("https://twitter.com/TachiSandra","@TachiSandra")</f>
        <v>@TachiSandra</v>
      </c>
      <c r="C2063" s="8" t="s">
        <v>6674</v>
      </c>
      <c r="D2063" s="9" t="s">
        <v>6675</v>
      </c>
      <c r="E2063" s="10" t="str">
        <f>HYPERLINK("https://twitter.com/TachiSandra/status/1070053903633408000","1070053903633408000")</f>
        <v>1070053903633408000</v>
      </c>
      <c r="F2063" s="12" t="s">
        <v>6676</v>
      </c>
      <c r="G2063" s="11"/>
      <c r="H2063" s="11"/>
      <c r="I2063" s="14">
        <v>0</v>
      </c>
      <c r="J2063" s="14">
        <v>1</v>
      </c>
      <c r="K2063" s="15" t="str">
        <f t="shared" si="404"/>
        <v>Twitter for Android</v>
      </c>
      <c r="L2063" s="14">
        <v>1759</v>
      </c>
      <c r="M2063" s="14">
        <v>2318</v>
      </c>
      <c r="N2063" s="14">
        <v>5</v>
      </c>
      <c r="O2063" s="16"/>
      <c r="P2063" s="6">
        <v>41558.919907407406</v>
      </c>
      <c r="Q2063" s="11"/>
      <c r="R2063" s="17" t="s">
        <v>6677</v>
      </c>
      <c r="S2063" s="11"/>
      <c r="T2063" s="11"/>
      <c r="U2063" s="10" t="str">
        <f>HYPERLINK("https://pbs.twimg.com/profile_images/1051912406622978051/DbleX9_x.jpg","View")</f>
        <v>View</v>
      </c>
    </row>
    <row r="2064" spans="1:21" ht="51">
      <c r="A2064" s="6">
        <v>43438.899363425924</v>
      </c>
      <c r="B2064" s="7" t="str">
        <f>HYPERLINK("https://twitter.com/gabrielrufian","@gabrielrufian")</f>
        <v>@gabrielrufian</v>
      </c>
      <c r="C2064" s="8" t="s">
        <v>4082</v>
      </c>
      <c r="D2064" s="9" t="s">
        <v>7250</v>
      </c>
      <c r="E2064" s="10" t="str">
        <f>HYPERLINK("https://twitter.com/gabrielrufian/status/1070053903570530304","1070053903570530304")</f>
        <v>1070053903570530304</v>
      </c>
      <c r="F2064" s="11"/>
      <c r="G2064" s="11"/>
      <c r="H2064" s="11"/>
      <c r="I2064" s="14">
        <v>6807</v>
      </c>
      <c r="J2064" s="14">
        <v>17530</v>
      </c>
      <c r="K2064" s="15" t="str">
        <f>HYPERLINK("http://twitter.com/download/iphone","Twitter for iPhone")</f>
        <v>Twitter for iPhone</v>
      </c>
      <c r="L2064" s="14">
        <v>616384</v>
      </c>
      <c r="M2064" s="14">
        <v>4690</v>
      </c>
      <c r="N2064" s="14">
        <v>2287</v>
      </c>
      <c r="O2064" s="19" t="s">
        <v>42</v>
      </c>
      <c r="P2064" s="6">
        <v>41977.464050925926</v>
      </c>
      <c r="Q2064" s="11"/>
      <c r="R2064" s="17" t="s">
        <v>4085</v>
      </c>
      <c r="S2064" s="13" t="s">
        <v>4088</v>
      </c>
      <c r="T2064" s="11"/>
      <c r="U2064" s="10" t="str">
        <f>HYPERLINK("https://pbs.twimg.com/profile_images/926514695498096640/KtMp99pO.jpg","View")</f>
        <v>View</v>
      </c>
    </row>
    <row r="2065" spans="1:21" ht="40.799999999999997">
      <c r="A2065" s="6">
        <v>43438.898842592593</v>
      </c>
      <c r="B2065" s="7" t="str">
        <f>HYPERLINK("https://twitter.com/Suso_Ares","@Suso_Ares")</f>
        <v>@Suso_Ares</v>
      </c>
      <c r="C2065" s="8" t="s">
        <v>6678</v>
      </c>
      <c r="D2065" s="9" t="s">
        <v>6679</v>
      </c>
      <c r="E2065" s="10" t="str">
        <f>HYPERLINK("https://twitter.com/Suso_Ares/status/1070053715099430913","1070053715099430913")</f>
        <v>1070053715099430913</v>
      </c>
      <c r="F2065" s="11"/>
      <c r="G2065" s="13" t="s">
        <v>6680</v>
      </c>
      <c r="H2065" s="11"/>
      <c r="I2065" s="14">
        <v>0</v>
      </c>
      <c r="J2065" s="14">
        <v>0</v>
      </c>
      <c r="K2065" s="15" t="str">
        <f t="shared" ref="K2065:K2069" si="405">HYPERLINK("http://twitter.com/download/android","Twitter for Android")</f>
        <v>Twitter for Android</v>
      </c>
      <c r="L2065" s="14">
        <v>872</v>
      </c>
      <c r="M2065" s="14">
        <v>1834</v>
      </c>
      <c r="N2065" s="14">
        <v>9</v>
      </c>
      <c r="O2065" s="16"/>
      <c r="P2065" s="6">
        <v>40617.844687500001</v>
      </c>
      <c r="Q2065" s="11"/>
      <c r="R2065" s="17" t="s">
        <v>6683</v>
      </c>
      <c r="S2065" s="11"/>
      <c r="T2065" s="11"/>
      <c r="U2065" s="10" t="str">
        <f>HYPERLINK("https://pbs.twimg.com/profile_images/1065329103128182784/rVNcYu8L.jpg","View")</f>
        <v>View</v>
      </c>
    </row>
    <row r="2066" spans="1:21" ht="30.6">
      <c r="A2066" s="6">
        <v>43438.89770833333</v>
      </c>
      <c r="B2066" s="7" t="str">
        <f>HYPERLINK("https://twitter.com/virginiamayoral","@virginiamayoral")</f>
        <v>@virginiamayoral</v>
      </c>
      <c r="C2066" s="8" t="s">
        <v>6687</v>
      </c>
      <c r="D2066" s="9" t="s">
        <v>6688</v>
      </c>
      <c r="E2066" s="10" t="str">
        <f>HYPERLINK("https://twitter.com/virginiamayoral/status/1070053303352999936","1070053303352999936")</f>
        <v>1070053303352999936</v>
      </c>
      <c r="F2066" s="11"/>
      <c r="G2066" s="11"/>
      <c r="H2066" s="11"/>
      <c r="I2066" s="14">
        <v>5</v>
      </c>
      <c r="J2066" s="14">
        <v>1</v>
      </c>
      <c r="K2066" s="15" t="str">
        <f t="shared" si="405"/>
        <v>Twitter for Android</v>
      </c>
      <c r="L2066" s="14">
        <v>2852</v>
      </c>
      <c r="M2066" s="14">
        <v>765</v>
      </c>
      <c r="N2066" s="14">
        <v>112</v>
      </c>
      <c r="O2066" s="16"/>
      <c r="P2066" s="6">
        <v>40477.965914351851</v>
      </c>
      <c r="Q2066" s="11"/>
      <c r="R2066" s="17" t="s">
        <v>6689</v>
      </c>
      <c r="S2066" s="11"/>
      <c r="T2066" s="11"/>
      <c r="U2066" s="10" t="str">
        <f>HYPERLINK("https://pbs.twimg.com/profile_images/990156471349506048/jGYmP8-J.jpg","View")</f>
        <v>View</v>
      </c>
    </row>
    <row r="2067" spans="1:21" ht="61.2">
      <c r="A2067" s="6">
        <v>43438.897199074076</v>
      </c>
      <c r="B2067" s="7" t="str">
        <f>HYPERLINK("https://twitter.com/maracristbal","@maracristbal")</f>
        <v>@maracristbal</v>
      </c>
      <c r="C2067" s="8" t="s">
        <v>6690</v>
      </c>
      <c r="D2067" s="9" t="s">
        <v>6691</v>
      </c>
      <c r="E2067" s="10" t="str">
        <f>HYPERLINK("https://twitter.com/maracristbal/status/1070053118015143936","1070053118015143936")</f>
        <v>1070053118015143936</v>
      </c>
      <c r="F2067" s="12" t="s">
        <v>5893</v>
      </c>
      <c r="G2067" s="11"/>
      <c r="H2067" s="11"/>
      <c r="I2067" s="14">
        <v>0</v>
      </c>
      <c r="J2067" s="14">
        <v>0</v>
      </c>
      <c r="K2067" s="15" t="str">
        <f t="shared" si="405"/>
        <v>Twitter for Android</v>
      </c>
      <c r="L2067" s="14">
        <v>662</v>
      </c>
      <c r="M2067" s="14">
        <v>1418</v>
      </c>
      <c r="N2067" s="14">
        <v>14</v>
      </c>
      <c r="O2067" s="16"/>
      <c r="P2067" s="6">
        <v>41348.720983796295</v>
      </c>
      <c r="Q2067" s="11"/>
      <c r="R2067" s="18"/>
      <c r="S2067" s="11"/>
      <c r="T2067" s="11"/>
      <c r="U2067" s="10" t="str">
        <f>HYPERLINK("https://pbs.twimg.com/profile_images/378800000695109914/73a1d52936fc312ea086fd6a8390c2b4.jpeg","View")</f>
        <v>View</v>
      </c>
    </row>
    <row r="2068" spans="1:21" ht="30.6">
      <c r="A2068" s="6">
        <v>43438.89234953704</v>
      </c>
      <c r="B2068" s="7" t="str">
        <f>HYPERLINK("https://twitter.com/MartaDias2","@MartaDias2")</f>
        <v>@MartaDias2</v>
      </c>
      <c r="C2068" s="8" t="s">
        <v>8181</v>
      </c>
      <c r="D2068" s="9" t="s">
        <v>8182</v>
      </c>
      <c r="E2068" s="10" t="str">
        <f>HYPERLINK("https://twitter.com/MartaDias2/status/1070051359964176385","1070051359964176385")</f>
        <v>1070051359964176385</v>
      </c>
      <c r="F2068" s="11"/>
      <c r="G2068" s="11"/>
      <c r="H2068" s="11"/>
      <c r="I2068" s="14">
        <v>0</v>
      </c>
      <c r="J2068" s="14">
        <v>1</v>
      </c>
      <c r="K2068" s="15" t="str">
        <f t="shared" si="405"/>
        <v>Twitter for Android</v>
      </c>
      <c r="L2068" s="14">
        <v>453</v>
      </c>
      <c r="M2068" s="14">
        <v>804</v>
      </c>
      <c r="N2068" s="14">
        <v>7</v>
      </c>
      <c r="O2068" s="16"/>
      <c r="P2068" s="6">
        <v>40665.025219907409</v>
      </c>
      <c r="Q2068" s="12" t="s">
        <v>979</v>
      </c>
      <c r="R2068" s="17" t="s">
        <v>8183</v>
      </c>
      <c r="S2068" s="11"/>
      <c r="T2068" s="11"/>
      <c r="U2068" s="10" t="str">
        <f>HYPERLINK("https://pbs.twimg.com/profile_images/1001599737177493505/8LZUzrrB.jpg","View")</f>
        <v>View</v>
      </c>
    </row>
    <row r="2069" spans="1:21" ht="81.599999999999994">
      <c r="A2069" s="6">
        <v>43438.889432870375</v>
      </c>
      <c r="B2069" s="7" t="str">
        <f>HYPERLINK("https://twitter.com/mari59carmen","@mari59carmen")</f>
        <v>@mari59carmen</v>
      </c>
      <c r="C2069" s="8" t="s">
        <v>4029</v>
      </c>
      <c r="D2069" s="9" t="s">
        <v>6693</v>
      </c>
      <c r="E2069" s="10" t="str">
        <f>HYPERLINK("https://twitter.com/mari59carmen/status/1070050302609506304","1070050302609506304")</f>
        <v>1070050302609506304</v>
      </c>
      <c r="F2069" s="13" t="s">
        <v>6696</v>
      </c>
      <c r="G2069" s="11"/>
      <c r="H2069" s="11"/>
      <c r="I2069" s="14">
        <v>0</v>
      </c>
      <c r="J2069" s="14">
        <v>1</v>
      </c>
      <c r="K2069" s="15" t="str">
        <f t="shared" si="405"/>
        <v>Twitter for Android</v>
      </c>
      <c r="L2069" s="14">
        <v>70</v>
      </c>
      <c r="M2069" s="14">
        <v>104</v>
      </c>
      <c r="N2069" s="14">
        <v>0</v>
      </c>
      <c r="O2069" s="16"/>
      <c r="P2069" s="6">
        <v>43012.592986111107</v>
      </c>
      <c r="Q2069" s="11"/>
      <c r="R2069" s="17" t="s">
        <v>4036</v>
      </c>
      <c r="S2069" s="11"/>
      <c r="T2069" s="11"/>
      <c r="U2069" s="10" t="str">
        <f>HYPERLINK("https://pbs.twimg.com/profile_images/915555847480266752/Ivy4PIjk.jpg","View")</f>
        <v>View</v>
      </c>
    </row>
    <row r="2070" spans="1:21" ht="40.799999999999997">
      <c r="A2070" s="6">
        <v>43438.886817129634</v>
      </c>
      <c r="B2070" s="7" t="str">
        <f>HYPERLINK("https://twitter.com/Annamar457","@Annamar457")</f>
        <v>@Annamar457</v>
      </c>
      <c r="C2070" s="8" t="s">
        <v>6701</v>
      </c>
      <c r="D2070" s="9" t="s">
        <v>6702</v>
      </c>
      <c r="E2070" s="10" t="str">
        <f>HYPERLINK("https://twitter.com/Annamar457/status/1070049355107876865","1070049355107876865")</f>
        <v>1070049355107876865</v>
      </c>
      <c r="F2070" s="11"/>
      <c r="G2070" s="11"/>
      <c r="H2070" s="11"/>
      <c r="I2070" s="14">
        <v>1</v>
      </c>
      <c r="J2070" s="14">
        <v>2</v>
      </c>
      <c r="K2070" s="15" t="str">
        <f>HYPERLINK("http://twitter.com/download/iphone","Twitter for iPhone")</f>
        <v>Twitter for iPhone</v>
      </c>
      <c r="L2070" s="14">
        <v>287</v>
      </c>
      <c r="M2070" s="14">
        <v>264</v>
      </c>
      <c r="N2070" s="14">
        <v>1</v>
      </c>
      <c r="O2070" s="16"/>
      <c r="P2070" s="6">
        <v>41729.669374999998</v>
      </c>
      <c r="Q2070" s="12" t="s">
        <v>6705</v>
      </c>
      <c r="R2070" s="17" t="s">
        <v>6706</v>
      </c>
      <c r="S2070" s="11"/>
      <c r="T2070" s="11"/>
      <c r="U2070" s="10" t="str">
        <f>HYPERLINK("https://pbs.twimg.com/profile_images/1069348062781456384/mAOQ8ahM.jpg","View")</f>
        <v>View</v>
      </c>
    </row>
    <row r="2071" spans="1:21" ht="20.399999999999999">
      <c r="A2071" s="6">
        <v>43438.886226851857</v>
      </c>
      <c r="B2071" s="7" t="str">
        <f>HYPERLINK("https://twitter.com/CiudadanoKane11","@CiudadanoKane11")</f>
        <v>@CiudadanoKane11</v>
      </c>
      <c r="C2071" s="8" t="s">
        <v>8184</v>
      </c>
      <c r="D2071" s="9" t="s">
        <v>4445</v>
      </c>
      <c r="E2071" s="10" t="str">
        <f>HYPERLINK("https://twitter.com/CiudadanoKane11/status/1070049140447547393","1070049140447547393")</f>
        <v>1070049140447547393</v>
      </c>
      <c r="F2071" s="13" t="s">
        <v>7686</v>
      </c>
      <c r="G2071" s="11"/>
      <c r="H2071" s="11"/>
      <c r="I2071" s="14">
        <v>0</v>
      </c>
      <c r="J2071" s="14">
        <v>0</v>
      </c>
      <c r="K2071" s="15" t="str">
        <f>HYPERLINK("https://paper.li","Paper.li")</f>
        <v>Paper.li</v>
      </c>
      <c r="L2071" s="14">
        <v>50</v>
      </c>
      <c r="M2071" s="14">
        <v>89</v>
      </c>
      <c r="N2071" s="14">
        <v>0</v>
      </c>
      <c r="O2071" s="16"/>
      <c r="P2071" s="6">
        <v>43202.993217592593</v>
      </c>
      <c r="Q2071" s="12" t="s">
        <v>137</v>
      </c>
      <c r="R2071" s="18"/>
      <c r="S2071" s="11"/>
      <c r="T2071" s="11"/>
      <c r="U2071" s="10" t="str">
        <f>HYPERLINK("https://pbs.twimg.com/profile_images/984553555905400832/B5Gpg7hf.jpg","View")</f>
        <v>View</v>
      </c>
    </row>
    <row r="2072" spans="1:21" ht="40.799999999999997">
      <c r="A2072" s="6">
        <v>43438.88554398148</v>
      </c>
      <c r="B2072" s="7" t="str">
        <f>HYPERLINK("https://twitter.com/samuelbeticovlc","@samuelbeticovlc")</f>
        <v>@samuelbeticovlc</v>
      </c>
      <c r="C2072" s="8" t="s">
        <v>6709</v>
      </c>
      <c r="D2072" s="9" t="s">
        <v>6710</v>
      </c>
      <c r="E2072" s="10" t="str">
        <f>HYPERLINK("https://twitter.com/samuelbeticovlc/status/1070048895152074762","1070048895152074762")</f>
        <v>1070048895152074762</v>
      </c>
      <c r="F2072" s="11"/>
      <c r="G2072" s="11"/>
      <c r="H2072" s="11"/>
      <c r="I2072" s="14">
        <v>0</v>
      </c>
      <c r="J2072" s="14">
        <v>0</v>
      </c>
      <c r="K2072" s="15" t="str">
        <f>HYPERLINK("http://twitter.com/download/android","Twitter for Android")</f>
        <v>Twitter for Android</v>
      </c>
      <c r="L2072" s="14">
        <v>90</v>
      </c>
      <c r="M2072" s="14">
        <v>156</v>
      </c>
      <c r="N2072" s="14">
        <v>2</v>
      </c>
      <c r="O2072" s="16"/>
      <c r="P2072" s="6">
        <v>43234.399675925924</v>
      </c>
      <c r="Q2072" s="11"/>
      <c r="R2072" s="17" t="s">
        <v>6715</v>
      </c>
      <c r="S2072" s="11"/>
      <c r="T2072" s="11"/>
      <c r="U2072" s="10" t="str">
        <f>HYPERLINK("https://pbs.twimg.com/profile_images/1064156447796273152/ENDxcg7C.jpg","View")</f>
        <v>View</v>
      </c>
    </row>
    <row r="2073" spans="1:21" ht="30.6">
      <c r="A2073" s="6">
        <v>43438.882986111115</v>
      </c>
      <c r="B2073" s="7" t="str">
        <f>HYPERLINK("https://twitter.com/ampl48","@ampl48")</f>
        <v>@ampl48</v>
      </c>
      <c r="C2073" s="8" t="s">
        <v>8185</v>
      </c>
      <c r="D2073" s="9" t="s">
        <v>8186</v>
      </c>
      <c r="E2073" s="10" t="str">
        <f>HYPERLINK("https://twitter.com/ampl48/status/1070047967531409410","1070047967531409410")</f>
        <v>1070047967531409410</v>
      </c>
      <c r="F2073" s="13" t="s">
        <v>8187</v>
      </c>
      <c r="G2073" s="11"/>
      <c r="H2073" s="11"/>
      <c r="I2073" s="14">
        <v>1</v>
      </c>
      <c r="J2073" s="14">
        <v>0</v>
      </c>
      <c r="K2073" s="15" t="str">
        <f>HYPERLINK("http://twitter.com","Twitter Web Client")</f>
        <v>Twitter Web Client</v>
      </c>
      <c r="L2073" s="14">
        <v>1366</v>
      </c>
      <c r="M2073" s="14">
        <v>2169</v>
      </c>
      <c r="N2073" s="14">
        <v>52</v>
      </c>
      <c r="O2073" s="16"/>
      <c r="P2073" s="6">
        <v>40814.612280092595</v>
      </c>
      <c r="Q2073" s="12" t="s">
        <v>2085</v>
      </c>
      <c r="R2073" s="17" t="s">
        <v>8188</v>
      </c>
      <c r="S2073" s="11"/>
      <c r="T2073" s="11"/>
      <c r="U2073" s="10" t="str">
        <f>HYPERLINK("https://pbs.twimg.com/profile_images/663500601351892993/p91GeEcT.jpg","View")</f>
        <v>View</v>
      </c>
    </row>
    <row r="2074" spans="1:21" ht="51">
      <c r="A2074" s="6">
        <v>43438.877824074079</v>
      </c>
      <c r="B2074" s="7" t="str">
        <f>HYPERLINK("https://twitter.com/gabylopez83","@gabylopez83")</f>
        <v>@gabylopez83</v>
      </c>
      <c r="C2074" s="8" t="s">
        <v>6719</v>
      </c>
      <c r="D2074" s="9" t="s">
        <v>6720</v>
      </c>
      <c r="E2074" s="10" t="str">
        <f>HYPERLINK("https://twitter.com/gabylopez83/status/1070046094711840768","1070046094711840768")</f>
        <v>1070046094711840768</v>
      </c>
      <c r="F2074" s="11"/>
      <c r="G2074" s="13" t="s">
        <v>6722</v>
      </c>
      <c r="H2074" s="11"/>
      <c r="I2074" s="14">
        <v>58</v>
      </c>
      <c r="J2074" s="14">
        <v>113</v>
      </c>
      <c r="K2074" s="15" t="str">
        <f t="shared" ref="K2074:K2076" si="406">HYPERLINK("http://twitter.com/download/android","Twitter for Android")</f>
        <v>Twitter for Android</v>
      </c>
      <c r="L2074" s="14">
        <v>9622</v>
      </c>
      <c r="M2074" s="14">
        <v>10033</v>
      </c>
      <c r="N2074" s="14">
        <v>14</v>
      </c>
      <c r="O2074" s="16"/>
      <c r="P2074" s="6">
        <v>40862.824189814812</v>
      </c>
      <c r="Q2074" s="11"/>
      <c r="R2074" s="17" t="s">
        <v>6723</v>
      </c>
      <c r="S2074" s="13" t="s">
        <v>6724</v>
      </c>
      <c r="T2074" s="11"/>
      <c r="U2074" s="10" t="str">
        <f>HYPERLINK("https://pbs.twimg.com/profile_images/1008854272363192320/to6ROs3Z.jpg","View")</f>
        <v>View</v>
      </c>
    </row>
    <row r="2075" spans="1:21" ht="71.400000000000006">
      <c r="A2075" s="6">
        <v>43438.876018518524</v>
      </c>
      <c r="B2075" s="7" t="str">
        <f>HYPERLINK("https://twitter.com/JubeirC","@JubeirC")</f>
        <v>@JubeirC</v>
      </c>
      <c r="C2075" s="8" t="s">
        <v>1788</v>
      </c>
      <c r="D2075" s="9" t="s">
        <v>6725</v>
      </c>
      <c r="E2075" s="10" t="str">
        <f>HYPERLINK("https://twitter.com/JubeirC/status/1070045440954036230","1070045440954036230")</f>
        <v>1070045440954036230</v>
      </c>
      <c r="F2075" s="13" t="s">
        <v>6726</v>
      </c>
      <c r="G2075" s="13" t="s">
        <v>6727</v>
      </c>
      <c r="H2075" s="11"/>
      <c r="I2075" s="14">
        <v>0</v>
      </c>
      <c r="J2075" s="14">
        <v>0</v>
      </c>
      <c r="K2075" s="15" t="str">
        <f t="shared" si="406"/>
        <v>Twitter for Android</v>
      </c>
      <c r="L2075" s="14">
        <v>90</v>
      </c>
      <c r="M2075" s="14">
        <v>168</v>
      </c>
      <c r="N2075" s="14">
        <v>0</v>
      </c>
      <c r="O2075" s="16"/>
      <c r="P2075" s="6">
        <v>43418.45893518519</v>
      </c>
      <c r="Q2075" s="12" t="s">
        <v>60</v>
      </c>
      <c r="R2075" s="17" t="s">
        <v>1792</v>
      </c>
      <c r="S2075" s="11"/>
      <c r="T2075" s="11"/>
      <c r="U2075" s="10" t="str">
        <f>HYPERLINK("https://pbs.twimg.com/profile_images/1067561859199447040/oZtzCzck.jpg","View")</f>
        <v>View</v>
      </c>
    </row>
    <row r="2076" spans="1:21" ht="20.399999999999999">
      <c r="A2076" s="6">
        <v>43438.875868055555</v>
      </c>
      <c r="B2076" s="7" t="str">
        <f>HYPERLINK("https://twitter.com/YoMmun","@YoMmun")</f>
        <v>@YoMmun</v>
      </c>
      <c r="C2076" s="8" t="s">
        <v>6728</v>
      </c>
      <c r="D2076" s="9" t="s">
        <v>6729</v>
      </c>
      <c r="E2076" s="10" t="str">
        <f>HYPERLINK("https://twitter.com/YoMmun/status/1070045386490941440","1070045386490941440")</f>
        <v>1070045386490941440</v>
      </c>
      <c r="F2076" s="11"/>
      <c r="G2076" s="13" t="s">
        <v>6730</v>
      </c>
      <c r="H2076" s="11"/>
      <c r="I2076" s="14">
        <v>0</v>
      </c>
      <c r="J2076" s="14">
        <v>0</v>
      </c>
      <c r="K2076" s="15" t="str">
        <f t="shared" si="406"/>
        <v>Twitter for Android</v>
      </c>
      <c r="L2076" s="14">
        <v>83</v>
      </c>
      <c r="M2076" s="14">
        <v>89</v>
      </c>
      <c r="N2076" s="14">
        <v>1</v>
      </c>
      <c r="O2076" s="16"/>
      <c r="P2076" s="6">
        <v>41893.118252314816</v>
      </c>
      <c r="Q2076" s="11"/>
      <c r="R2076" s="18"/>
      <c r="S2076" s="11"/>
      <c r="T2076" s="11"/>
      <c r="U2076" s="10" t="str">
        <f>HYPERLINK("https://pbs.twimg.com/profile_images/595153727696281600/z8rWEfAY.jpg","View")</f>
        <v>View</v>
      </c>
    </row>
    <row r="2077" spans="1:21" ht="20.399999999999999">
      <c r="A2077" s="6">
        <v>43438.875416666662</v>
      </c>
      <c r="B2077" s="7" t="str">
        <f>HYPERLINK("https://twitter.com/negativo_stats","@negativo_stats")</f>
        <v>@negativo_stats</v>
      </c>
      <c r="C2077" s="8" t="s">
        <v>171</v>
      </c>
      <c r="D2077" s="9" t="s">
        <v>6731</v>
      </c>
      <c r="E2077" s="10" t="str">
        <f>HYPERLINK("https://twitter.com/negativo_stats/status/1070045221994541056","1070045221994541056")</f>
        <v>1070045221994541056</v>
      </c>
      <c r="F2077" s="11"/>
      <c r="G2077" s="13" t="s">
        <v>6738</v>
      </c>
      <c r="H2077" s="11"/>
      <c r="I2077" s="14">
        <v>0</v>
      </c>
      <c r="J2077" s="14">
        <v>0</v>
      </c>
      <c r="K2077" s="15" t="str">
        <f>HYPERLINK("http://kosmonautica.es","Política Negativa")</f>
        <v>Política Negativa</v>
      </c>
      <c r="L2077" s="14">
        <v>268</v>
      </c>
      <c r="M2077" s="14">
        <v>788</v>
      </c>
      <c r="N2077" s="14">
        <v>2</v>
      </c>
      <c r="O2077" s="16"/>
      <c r="P2077" s="6">
        <v>42171.770601851851</v>
      </c>
      <c r="Q2077" s="12" t="s">
        <v>60</v>
      </c>
      <c r="R2077" s="17" t="s">
        <v>174</v>
      </c>
      <c r="S2077" s="11"/>
      <c r="T2077" s="11"/>
      <c r="U2077" s="10" t="str">
        <f>HYPERLINK("https://pbs.twimg.com/profile_images/628553625984438272/e-VHyhP1.png","View")</f>
        <v>View</v>
      </c>
    </row>
    <row r="2078" spans="1:21" ht="30.6">
      <c r="A2078" s="6">
        <v>43438.87501157407</v>
      </c>
      <c r="B2078" s="7" t="str">
        <f>HYPERLINK("https://twitter.com/Cs_Tenerife","@Cs_Tenerife")</f>
        <v>@Cs_Tenerife</v>
      </c>
      <c r="C2078" s="8" t="s">
        <v>1598</v>
      </c>
      <c r="D2078" s="9" t="s">
        <v>6749</v>
      </c>
      <c r="E2078" s="10" t="str">
        <f>HYPERLINK("https://twitter.com/Cs_Tenerife/status/1070045077295132672","1070045077295132672")</f>
        <v>1070045077295132672</v>
      </c>
      <c r="F2078" s="13" t="s">
        <v>6750</v>
      </c>
      <c r="G2078" s="11"/>
      <c r="H2078" s="11"/>
      <c r="I2078" s="14">
        <v>1</v>
      </c>
      <c r="J2078" s="14">
        <v>1</v>
      </c>
      <c r="K2078" s="15" t="str">
        <f t="shared" ref="K2078:K2079" si="407">HYPERLINK("https://about.twitter.com/products/tweetdeck","TweetDeck")</f>
        <v>TweetDeck</v>
      </c>
      <c r="L2078" s="14">
        <v>314</v>
      </c>
      <c r="M2078" s="14">
        <v>412</v>
      </c>
      <c r="N2078" s="14">
        <v>2</v>
      </c>
      <c r="O2078" s="16"/>
      <c r="P2078" s="6">
        <v>43006.477256944447</v>
      </c>
      <c r="Q2078" s="12" t="s">
        <v>1601</v>
      </c>
      <c r="R2078" s="17" t="s">
        <v>1602</v>
      </c>
      <c r="S2078" s="13" t="s">
        <v>1506</v>
      </c>
      <c r="T2078" s="11"/>
      <c r="U2078" s="10" t="str">
        <f>HYPERLINK("https://pbs.twimg.com/profile_images/913334716803186688/AFUK2T9e.jpg","View")</f>
        <v>View</v>
      </c>
    </row>
    <row r="2079" spans="1:21" ht="30.6">
      <c r="A2079" s="6">
        <v>43438.87501157407</v>
      </c>
      <c r="B2079" s="7" t="str">
        <f>HYPERLINK("https://twitter.com/eldiarioCultura","@eldiarioCultura")</f>
        <v>@eldiarioCultura</v>
      </c>
      <c r="C2079" s="8" t="s">
        <v>8189</v>
      </c>
      <c r="D2079" s="9" t="s">
        <v>8190</v>
      </c>
      <c r="E2079" s="10" t="str">
        <f>HYPERLINK("https://twitter.com/eldiarioCultura/status/1070045077035200513","1070045077035200513")</f>
        <v>1070045077035200513</v>
      </c>
      <c r="F2079" s="13" t="s">
        <v>8191</v>
      </c>
      <c r="G2079" s="11"/>
      <c r="H2079" s="11"/>
      <c r="I2079" s="14">
        <v>0</v>
      </c>
      <c r="J2079" s="14">
        <v>0</v>
      </c>
      <c r="K2079" s="15" t="str">
        <f t="shared" si="407"/>
        <v>TweetDeck</v>
      </c>
      <c r="L2079" s="14">
        <v>24758</v>
      </c>
      <c r="M2079" s="14">
        <v>1604</v>
      </c>
      <c r="N2079" s="14">
        <v>643</v>
      </c>
      <c r="O2079" s="19" t="s">
        <v>42</v>
      </c>
      <c r="P2079" s="6">
        <v>41680.445289351854</v>
      </c>
      <c r="Q2079" s="12" t="s">
        <v>8192</v>
      </c>
      <c r="R2079" s="17" t="s">
        <v>8193</v>
      </c>
      <c r="S2079" s="13" t="s">
        <v>8194</v>
      </c>
      <c r="T2079" s="11"/>
      <c r="U2079" s="10" t="str">
        <f>HYPERLINK("https://pbs.twimg.com/profile_images/975770884521844741/HPVqqpAG.jpg","View")</f>
        <v>View</v>
      </c>
    </row>
    <row r="2080" spans="1:21" ht="61.2">
      <c r="A2080" s="6">
        <v>43438.875</v>
      </c>
      <c r="B2080" s="7" t="str">
        <f>HYPERLINK("https://twitter.com/59Ppe","@59Ppe")</f>
        <v>@59Ppe</v>
      </c>
      <c r="C2080" s="8" t="s">
        <v>8195</v>
      </c>
      <c r="D2080" s="9" t="s">
        <v>8196</v>
      </c>
      <c r="E2080" s="10" t="str">
        <f>HYPERLINK("https://twitter.com/59Ppe/status/1070045073818247168","1070045073818247168")</f>
        <v>1070045073818247168</v>
      </c>
      <c r="F2080" s="11"/>
      <c r="G2080" s="11"/>
      <c r="H2080" s="11"/>
      <c r="I2080" s="14">
        <v>0</v>
      </c>
      <c r="J2080" s="14">
        <v>0</v>
      </c>
      <c r="K2080" s="15" t="str">
        <f>HYPERLINK("http://twitter.com/download/iphone","Twitter for iPhone")</f>
        <v>Twitter for iPhone</v>
      </c>
      <c r="L2080" s="14">
        <v>28</v>
      </c>
      <c r="M2080" s="14">
        <v>119</v>
      </c>
      <c r="N2080" s="14">
        <v>0</v>
      </c>
      <c r="O2080" s="16"/>
      <c r="P2080" s="6">
        <v>41518.888599537036</v>
      </c>
      <c r="Q2080" s="12" t="s">
        <v>4257</v>
      </c>
      <c r="R2080" s="17" t="s">
        <v>8197</v>
      </c>
      <c r="S2080" s="11"/>
      <c r="T2080" s="11"/>
      <c r="U2080" s="10" t="str">
        <f>HYPERLINK("https://pbs.twimg.com/profile_images/559393291087937536/jm5QKbfQ.jpeg","View")</f>
        <v>View</v>
      </c>
    </row>
    <row r="2081" spans="1:21" ht="20.399999999999999">
      <c r="A2081" s="6">
        <v>43438.87399305556</v>
      </c>
      <c r="B2081" s="7" t="str">
        <f>HYPERLINK("https://twitter.com/PEGRIGRI","@PEGRIGRI")</f>
        <v>@PEGRIGRI</v>
      </c>
      <c r="C2081" s="8" t="s">
        <v>1126</v>
      </c>
      <c r="D2081" s="9" t="s">
        <v>8198</v>
      </c>
      <c r="E2081" s="10" t="str">
        <f>HYPERLINK("https://twitter.com/PEGRIGRI/status/1070044706233565184","1070044706233565184")</f>
        <v>1070044706233565184</v>
      </c>
      <c r="F2081" s="11"/>
      <c r="G2081" s="11"/>
      <c r="H2081" s="11"/>
      <c r="I2081" s="14">
        <v>1</v>
      </c>
      <c r="J2081" s="14">
        <v>0</v>
      </c>
      <c r="K2081" s="15" t="str">
        <f>HYPERLINK("http://twitter.com/download/android","Twitter for Android")</f>
        <v>Twitter for Android</v>
      </c>
      <c r="L2081" s="14">
        <v>149</v>
      </c>
      <c r="M2081" s="14">
        <v>531</v>
      </c>
      <c r="N2081" s="14">
        <v>1</v>
      </c>
      <c r="O2081" s="16"/>
      <c r="P2081" s="6">
        <v>40684.369895833333</v>
      </c>
      <c r="Q2081" s="11"/>
      <c r="R2081" s="17" t="s">
        <v>1128</v>
      </c>
      <c r="S2081" s="11"/>
      <c r="T2081" s="11"/>
      <c r="U2081" s="10" t="str">
        <f>HYPERLINK("https://pbs.twimg.com/profile_images/765260483008012288/Anhn7Wei.jpg","View")</f>
        <v>View</v>
      </c>
    </row>
    <row r="2082" spans="1:21" ht="40.799999999999997">
      <c r="A2082" s="6">
        <v>43438.873819444445</v>
      </c>
      <c r="B2082" s="7" t="str">
        <f>HYPERLINK("https://twitter.com/estoyharto1","@estoyharto1")</f>
        <v>@estoyharto1</v>
      </c>
      <c r="C2082" s="8" t="s">
        <v>1404</v>
      </c>
      <c r="D2082" s="9" t="s">
        <v>6754</v>
      </c>
      <c r="E2082" s="10" t="str">
        <f>HYPERLINK("https://twitter.com/estoyharto1/status/1070044646435446784","1070044646435446784")</f>
        <v>1070044646435446784</v>
      </c>
      <c r="F2082" s="12" t="s">
        <v>6755</v>
      </c>
      <c r="G2082" s="11"/>
      <c r="H2082" s="11"/>
      <c r="I2082" s="14">
        <v>0</v>
      </c>
      <c r="J2082" s="14">
        <v>0</v>
      </c>
      <c r="K2082" s="15" t="str">
        <f>HYPERLINK("http://twitter.com/download/iphone","Twitter for iPhone")</f>
        <v>Twitter for iPhone</v>
      </c>
      <c r="L2082" s="14">
        <v>1464</v>
      </c>
      <c r="M2082" s="14">
        <v>711</v>
      </c>
      <c r="N2082" s="14">
        <v>5</v>
      </c>
      <c r="O2082" s="16"/>
      <c r="P2082" s="6">
        <v>41079.495462962965</v>
      </c>
      <c r="Q2082" s="11"/>
      <c r="R2082" s="17" t="s">
        <v>1408</v>
      </c>
      <c r="S2082" s="11"/>
      <c r="T2082" s="11"/>
      <c r="U2082" s="10" t="str">
        <f>HYPERLINK("https://pbs.twimg.com/profile_images/917013967352016896/yPYBWVQf.jpg","View")</f>
        <v>View</v>
      </c>
    </row>
    <row r="2083" spans="1:21" ht="71.400000000000006">
      <c r="A2083" s="6">
        <v>43438.873090277775</v>
      </c>
      <c r="B2083" s="7" t="str">
        <f>HYPERLINK("https://twitter.com/ecealmo","@ecealmo")</f>
        <v>@ecealmo</v>
      </c>
      <c r="C2083" s="8" t="s">
        <v>6760</v>
      </c>
      <c r="D2083" s="9" t="s">
        <v>6763</v>
      </c>
      <c r="E2083" s="10" t="str">
        <f>HYPERLINK("https://twitter.com/ecealmo/status/1070044380038381568","1070044380038381568")</f>
        <v>1070044380038381568</v>
      </c>
      <c r="F2083" s="12" t="s">
        <v>6764</v>
      </c>
      <c r="G2083" s="13" t="s">
        <v>6765</v>
      </c>
      <c r="H2083" s="11"/>
      <c r="I2083" s="14">
        <v>0</v>
      </c>
      <c r="J2083" s="14">
        <v>0</v>
      </c>
      <c r="K2083" s="15" t="str">
        <f>HYPERLINK("https://mobile.twitter.com","Twitter Lite")</f>
        <v>Twitter Lite</v>
      </c>
      <c r="L2083" s="14">
        <v>299</v>
      </c>
      <c r="M2083" s="14">
        <v>287</v>
      </c>
      <c r="N2083" s="14">
        <v>0</v>
      </c>
      <c r="O2083" s="16"/>
      <c r="P2083" s="6">
        <v>40959.595706018517</v>
      </c>
      <c r="Q2083" s="12" t="s">
        <v>6766</v>
      </c>
      <c r="R2083" s="17" t="s">
        <v>6767</v>
      </c>
      <c r="S2083" s="11"/>
      <c r="T2083" s="11"/>
      <c r="U2083" s="10" t="str">
        <f>HYPERLINK("https://pbs.twimg.com/profile_images/1071359658969976837/Sns4FpEM.jpg","View")</f>
        <v>View</v>
      </c>
    </row>
    <row r="2084" spans="1:21" ht="51">
      <c r="A2084" s="6">
        <v>43438.871724537035</v>
      </c>
      <c r="B2084" s="7" t="str">
        <f>HYPERLINK("https://twitter.com/philidor38","@philidor38")</f>
        <v>@philidor38</v>
      </c>
      <c r="C2084" s="8" t="s">
        <v>185</v>
      </c>
      <c r="D2084" s="9" t="s">
        <v>8199</v>
      </c>
      <c r="E2084" s="10" t="str">
        <f>HYPERLINK("https://twitter.com/philidor38/status/1070043883847987200","1070043883847987200")</f>
        <v>1070043883847987200</v>
      </c>
      <c r="F2084" s="11"/>
      <c r="G2084" s="11"/>
      <c r="H2084" s="11"/>
      <c r="I2084" s="14">
        <v>3</v>
      </c>
      <c r="J2084" s="14">
        <v>11</v>
      </c>
      <c r="K2084" s="15" t="str">
        <f>HYPERLINK("http://twitter.com","Twitter Web Client")</f>
        <v>Twitter Web Client</v>
      </c>
      <c r="L2084" s="14">
        <v>1041</v>
      </c>
      <c r="M2084" s="14">
        <v>772</v>
      </c>
      <c r="N2084" s="14">
        <v>4</v>
      </c>
      <c r="O2084" s="16"/>
      <c r="P2084" s="6">
        <v>41882.968900462962</v>
      </c>
      <c r="Q2084" s="11"/>
      <c r="R2084" s="17" t="s">
        <v>189</v>
      </c>
      <c r="S2084" s="13" t="s">
        <v>190</v>
      </c>
      <c r="T2084" s="11"/>
      <c r="U2084" s="10" t="str">
        <f>HYPERLINK("https://pbs.twimg.com/profile_images/1061308076928745473/Pn8N4HWB.jpg","View")</f>
        <v>View</v>
      </c>
    </row>
    <row r="2085" spans="1:21" ht="20.399999999999999">
      <c r="A2085" s="6">
        <v>43438.871203703704</v>
      </c>
      <c r="B2085" s="7" t="str">
        <f>HYPERLINK("https://twitter.com/PEGRIGRI","@PEGRIGRI")</f>
        <v>@PEGRIGRI</v>
      </c>
      <c r="C2085" s="8" t="s">
        <v>1126</v>
      </c>
      <c r="D2085" s="9" t="s">
        <v>8200</v>
      </c>
      <c r="E2085" s="10" t="str">
        <f>HYPERLINK("https://twitter.com/PEGRIGRI/status/1070043696685613058","1070043696685613058")</f>
        <v>1070043696685613058</v>
      </c>
      <c r="F2085" s="11"/>
      <c r="G2085" s="11"/>
      <c r="H2085" s="11"/>
      <c r="I2085" s="14">
        <v>0</v>
      </c>
      <c r="J2085" s="14">
        <v>0</v>
      </c>
      <c r="K2085" s="15" t="str">
        <f t="shared" ref="K2085:K2087" si="408">HYPERLINK("http://twitter.com/download/android","Twitter for Android")</f>
        <v>Twitter for Android</v>
      </c>
      <c r="L2085" s="14">
        <v>149</v>
      </c>
      <c r="M2085" s="14">
        <v>531</v>
      </c>
      <c r="N2085" s="14">
        <v>1</v>
      </c>
      <c r="O2085" s="16"/>
      <c r="P2085" s="6">
        <v>40684.369895833333</v>
      </c>
      <c r="Q2085" s="11"/>
      <c r="R2085" s="17" t="s">
        <v>1128</v>
      </c>
      <c r="S2085" s="11"/>
      <c r="T2085" s="11"/>
      <c r="U2085" s="10" t="str">
        <f>HYPERLINK("https://pbs.twimg.com/profile_images/765260483008012288/Anhn7Wei.jpg","View")</f>
        <v>View</v>
      </c>
    </row>
    <row r="2086" spans="1:21" ht="30.6">
      <c r="A2086" s="6">
        <v>43438.870879629627</v>
      </c>
      <c r="B2086" s="7" t="str">
        <f>HYPERLINK("https://twitter.com/harryelsocio","@harryelsocio")</f>
        <v>@harryelsocio</v>
      </c>
      <c r="C2086" s="8" t="s">
        <v>8201</v>
      </c>
      <c r="D2086" s="9" t="s">
        <v>8202</v>
      </c>
      <c r="E2086" s="10" t="str">
        <f>HYPERLINK("https://twitter.com/harryelsocio/status/1070043579400232960","1070043579400232960")</f>
        <v>1070043579400232960</v>
      </c>
      <c r="F2086" s="11"/>
      <c r="G2086" s="11"/>
      <c r="H2086" s="11"/>
      <c r="I2086" s="14">
        <v>24</v>
      </c>
      <c r="J2086" s="14">
        <v>96</v>
      </c>
      <c r="K2086" s="15" t="str">
        <f t="shared" si="408"/>
        <v>Twitter for Android</v>
      </c>
      <c r="L2086" s="14">
        <v>11438</v>
      </c>
      <c r="M2086" s="14">
        <v>821</v>
      </c>
      <c r="N2086" s="14">
        <v>30</v>
      </c>
      <c r="O2086" s="16"/>
      <c r="P2086" s="6">
        <v>42704.928518518514</v>
      </c>
      <c r="Q2086" s="11"/>
      <c r="R2086" s="17" t="s">
        <v>8203</v>
      </c>
      <c r="S2086" s="11"/>
      <c r="T2086" s="11"/>
      <c r="U2086" s="10" t="str">
        <f>HYPERLINK("https://pbs.twimg.com/profile_images/958415746010439681/PmJyhIic.jpg","View")</f>
        <v>View</v>
      </c>
    </row>
    <row r="2087" spans="1:21" ht="51">
      <c r="A2087" s="6">
        <v>43438.869652777779</v>
      </c>
      <c r="B2087" s="7" t="str">
        <f>HYPERLINK("https://twitter.com/Ivan92241169","@Ivan92241169")</f>
        <v>@Ivan92241169</v>
      </c>
      <c r="C2087" s="8" t="s">
        <v>6768</v>
      </c>
      <c r="D2087" s="9" t="s">
        <v>6769</v>
      </c>
      <c r="E2087" s="10" t="str">
        <f>HYPERLINK("https://twitter.com/Ivan92241169/status/1070043134573404161","1070043134573404161")</f>
        <v>1070043134573404161</v>
      </c>
      <c r="F2087" s="13" t="s">
        <v>6770</v>
      </c>
      <c r="G2087" s="11"/>
      <c r="H2087" s="11"/>
      <c r="I2087" s="14">
        <v>0</v>
      </c>
      <c r="J2087" s="14">
        <v>0</v>
      </c>
      <c r="K2087" s="15" t="str">
        <f t="shared" si="408"/>
        <v>Twitter for Android</v>
      </c>
      <c r="L2087" s="14">
        <v>96</v>
      </c>
      <c r="M2087" s="14">
        <v>137</v>
      </c>
      <c r="N2087" s="14">
        <v>0</v>
      </c>
      <c r="O2087" s="16"/>
      <c r="P2087" s="6">
        <v>43384.573900462958</v>
      </c>
      <c r="Q2087" s="12" t="s">
        <v>2996</v>
      </c>
      <c r="R2087" s="17" t="s">
        <v>6775</v>
      </c>
      <c r="S2087" s="11"/>
      <c r="T2087" s="11"/>
      <c r="U2087" s="10" t="str">
        <f>HYPERLINK("https://pbs.twimg.com/profile_images/1050476391626625029/kyaKp9F9.jpg","View")</f>
        <v>View</v>
      </c>
    </row>
    <row r="2088" spans="1:21" ht="102">
      <c r="A2088" s="6">
        <v>43438.869166666671</v>
      </c>
      <c r="B2088" s="7" t="str">
        <f>HYPERLINK("https://twitter.com/Controleitor","@Controleitor")</f>
        <v>@Controleitor</v>
      </c>
      <c r="C2088" s="8" t="s">
        <v>6631</v>
      </c>
      <c r="D2088" s="9" t="s">
        <v>6776</v>
      </c>
      <c r="E2088" s="10" t="str">
        <f>HYPERLINK("https://twitter.com/Controleitor/status/1070042957162692608","1070042957162692608")</f>
        <v>1070042957162692608</v>
      </c>
      <c r="F2088" s="13" t="s">
        <v>6777</v>
      </c>
      <c r="G2088" s="13" t="s">
        <v>6778</v>
      </c>
      <c r="H2088" s="11"/>
      <c r="I2088" s="14">
        <v>0</v>
      </c>
      <c r="J2088" s="14">
        <v>0</v>
      </c>
      <c r="K2088" s="15" t="str">
        <f>HYPERLINK("http://twitter.com/download/iphone","Twitter for iPhone")</f>
        <v>Twitter for iPhone</v>
      </c>
      <c r="L2088" s="14">
        <v>3192</v>
      </c>
      <c r="M2088" s="14">
        <v>693</v>
      </c>
      <c r="N2088" s="14">
        <v>63</v>
      </c>
      <c r="O2088" s="16"/>
      <c r="P2088" s="6">
        <v>40853.931423611109</v>
      </c>
      <c r="Q2088" s="11"/>
      <c r="R2088" s="18"/>
      <c r="S2088" s="11"/>
      <c r="T2088" s="11"/>
      <c r="U2088" s="10" t="str">
        <f>HYPERLINK("https://pbs.twimg.com/profile_images/1008077645865680903/ZjMX-7lX.jpg","View")</f>
        <v>View</v>
      </c>
    </row>
    <row r="2089" spans="1:21" ht="51">
      <c r="A2089" s="6">
        <v>43438.864756944444</v>
      </c>
      <c r="B2089" s="7" t="str">
        <f>HYPERLINK("https://twitter.com/Socarrat___","@Socarrat___")</f>
        <v>@Socarrat___</v>
      </c>
      <c r="C2089" s="8" t="s">
        <v>8204</v>
      </c>
      <c r="D2089" s="9" t="s">
        <v>8205</v>
      </c>
      <c r="E2089" s="10" t="str">
        <f>HYPERLINK("https://twitter.com/Socarrat___/status/1070041362395992065","1070041362395992065")</f>
        <v>1070041362395992065</v>
      </c>
      <c r="F2089" s="11"/>
      <c r="G2089" s="13" t="s">
        <v>8206</v>
      </c>
      <c r="H2089" s="11"/>
      <c r="I2089" s="14">
        <v>0</v>
      </c>
      <c r="J2089" s="14">
        <v>1</v>
      </c>
      <c r="K2089" s="15" t="str">
        <f>HYPERLINK("http://twitter.com","Twitter Web Client")</f>
        <v>Twitter Web Client</v>
      </c>
      <c r="L2089" s="14">
        <v>1165</v>
      </c>
      <c r="M2089" s="14">
        <v>1095</v>
      </c>
      <c r="N2089" s="14">
        <v>14</v>
      </c>
      <c r="O2089" s="16"/>
      <c r="P2089" s="6">
        <v>41888.786469907405</v>
      </c>
      <c r="Q2089" s="12" t="s">
        <v>288</v>
      </c>
      <c r="R2089" s="17" t="s">
        <v>8207</v>
      </c>
      <c r="S2089" s="11"/>
      <c r="T2089" s="11"/>
      <c r="U2089" s="10" t="str">
        <f>HYPERLINK("https://pbs.twimg.com/profile_images/1063168376875503618/NfQQalGc.jpg","View")</f>
        <v>View</v>
      </c>
    </row>
    <row r="2090" spans="1:21" ht="81.599999999999994">
      <c r="A2090" s="6">
        <v>43438.859722222223</v>
      </c>
      <c r="B2090" s="7" t="str">
        <f>HYPERLINK("https://twitter.com/esperanzaec","@esperanzaec")</f>
        <v>@esperanzaec</v>
      </c>
      <c r="C2090" s="8" t="s">
        <v>8208</v>
      </c>
      <c r="D2090" s="9" t="s">
        <v>8209</v>
      </c>
      <c r="E2090" s="10" t="str">
        <f>HYPERLINK("https://twitter.com/esperanzaec/status/1070039535843725314","1070039535843725314")</f>
        <v>1070039535843725314</v>
      </c>
      <c r="F2090" s="12" t="s">
        <v>6915</v>
      </c>
      <c r="G2090" s="11"/>
      <c r="H2090" s="11"/>
      <c r="I2090" s="14">
        <v>0</v>
      </c>
      <c r="J2090" s="14">
        <v>3</v>
      </c>
      <c r="K2090" s="15" t="str">
        <f>HYPERLINK("https://buffer.com","Buffer")</f>
        <v>Buffer</v>
      </c>
      <c r="L2090" s="14">
        <v>3277</v>
      </c>
      <c r="M2090" s="14">
        <v>2164</v>
      </c>
      <c r="N2090" s="14">
        <v>119</v>
      </c>
      <c r="O2090" s="16"/>
      <c r="P2090" s="6">
        <v>40402.030578703707</v>
      </c>
      <c r="Q2090" s="12" t="s">
        <v>83</v>
      </c>
      <c r="R2090" s="17" t="s">
        <v>8210</v>
      </c>
      <c r="S2090" s="13" t="s">
        <v>8211</v>
      </c>
      <c r="T2090" s="11"/>
      <c r="U2090" s="10" t="str">
        <f>HYPERLINK("https://pbs.twimg.com/profile_images/1045722459994034177/SiPJ0Cl1.jpg","View")</f>
        <v>View</v>
      </c>
    </row>
    <row r="2091" spans="1:21" ht="51">
      <c r="A2091" s="6">
        <v>43438.858506944445</v>
      </c>
      <c r="B2091" s="7" t="str">
        <f>HYPERLINK("https://twitter.com/fenixssf","@fenixssf")</f>
        <v>@fenixssf</v>
      </c>
      <c r="C2091" s="8" t="s">
        <v>8212</v>
      </c>
      <c r="D2091" s="9" t="s">
        <v>8213</v>
      </c>
      <c r="E2091" s="10" t="str">
        <f>HYPERLINK("https://twitter.com/fenixssf/status/1070039096322650114","1070039096322650114")</f>
        <v>1070039096322650114</v>
      </c>
      <c r="F2091" s="13" t="s">
        <v>4530</v>
      </c>
      <c r="G2091" s="11"/>
      <c r="H2091" s="11"/>
      <c r="I2091" s="14">
        <v>62</v>
      </c>
      <c r="J2091" s="14">
        <v>40</v>
      </c>
      <c r="K2091" s="15" t="str">
        <f>HYPERLINK("http://twitter.com/download/android","Twitter for Android")</f>
        <v>Twitter for Android</v>
      </c>
      <c r="L2091" s="14">
        <v>1179</v>
      </c>
      <c r="M2091" s="14">
        <v>1110</v>
      </c>
      <c r="N2091" s="14">
        <v>27</v>
      </c>
      <c r="O2091" s="16"/>
      <c r="P2091" s="6">
        <v>42561.760509259257</v>
      </c>
      <c r="Q2091" s="12" t="s">
        <v>8214</v>
      </c>
      <c r="R2091" s="17" t="s">
        <v>8215</v>
      </c>
      <c r="S2091" s="13" t="s">
        <v>8216</v>
      </c>
      <c r="T2091" s="11"/>
      <c r="U2091" s="10" t="str">
        <f>HYPERLINK("https://pbs.twimg.com/profile_images/1070643742355398657/bCalwMN6.jpg","View")</f>
        <v>View</v>
      </c>
    </row>
    <row r="2092" spans="1:21" ht="30.6">
      <c r="A2092" s="6">
        <v>43438.854085648149</v>
      </c>
      <c r="B2092" s="7" t="str">
        <f>HYPERLINK("https://twitter.com/MateoHeHu","@MateoHeHu")</f>
        <v>@MateoHeHu</v>
      </c>
      <c r="C2092" s="8" t="s">
        <v>6781</v>
      </c>
      <c r="D2092" s="9" t="s">
        <v>6782</v>
      </c>
      <c r="E2092" s="10" t="str">
        <f>HYPERLINK("https://twitter.com/MateoHeHu/status/1070037491883884545","1070037491883884545")</f>
        <v>1070037491883884545</v>
      </c>
      <c r="F2092" s="11"/>
      <c r="G2092" s="13" t="s">
        <v>6783</v>
      </c>
      <c r="H2092" s="11"/>
      <c r="I2092" s="14">
        <v>0</v>
      </c>
      <c r="J2092" s="14">
        <v>0</v>
      </c>
      <c r="K2092" s="15" t="str">
        <f>HYPERLINK("http://twitter.com","Twitter Web Client")</f>
        <v>Twitter Web Client</v>
      </c>
      <c r="L2092" s="14">
        <v>258</v>
      </c>
      <c r="M2092" s="14">
        <v>277</v>
      </c>
      <c r="N2092" s="14">
        <v>2</v>
      </c>
      <c r="O2092" s="16"/>
      <c r="P2092" s="6">
        <v>41657.602129629631</v>
      </c>
      <c r="Q2092" s="12" t="s">
        <v>6784</v>
      </c>
      <c r="R2092" s="17" t="s">
        <v>6785</v>
      </c>
      <c r="S2092" s="13" t="s">
        <v>6786</v>
      </c>
      <c r="T2092" s="11"/>
      <c r="U2092" s="10" t="str">
        <f>HYPERLINK("https://pbs.twimg.com/profile_images/1019669404374781954/0CuxlPNR.jpg","View")</f>
        <v>View</v>
      </c>
    </row>
    <row r="2093" spans="1:21" ht="40.799999999999997">
      <c r="A2093" s="6">
        <v>43438.851747685185</v>
      </c>
      <c r="B2093" s="7" t="str">
        <f>HYPERLINK("https://twitter.com/PdeSamos","@PdeSamos")</f>
        <v>@PdeSamos</v>
      </c>
      <c r="C2093" s="8" t="s">
        <v>794</v>
      </c>
      <c r="D2093" s="9" t="s">
        <v>8217</v>
      </c>
      <c r="E2093" s="10" t="str">
        <f>HYPERLINK("https://twitter.com/PdeSamos/status/1070036645423038465","1070036645423038465")</f>
        <v>1070036645423038465</v>
      </c>
      <c r="F2093" s="13" t="s">
        <v>8218</v>
      </c>
      <c r="G2093" s="11"/>
      <c r="H2093" s="11"/>
      <c r="I2093" s="14">
        <v>0</v>
      </c>
      <c r="J2093" s="14">
        <v>0</v>
      </c>
      <c r="K2093" s="15" t="str">
        <f>HYPERLINK("http://republico.ddns.net","App Libertad PdeSamos")</f>
        <v>App Libertad PdeSamos</v>
      </c>
      <c r="L2093" s="14">
        <v>5398</v>
      </c>
      <c r="M2093" s="14">
        <v>5441</v>
      </c>
      <c r="N2093" s="14">
        <v>12</v>
      </c>
      <c r="O2093" s="16"/>
      <c r="P2093" s="6">
        <v>42889.820567129631</v>
      </c>
      <c r="Q2093" s="12" t="s">
        <v>800</v>
      </c>
      <c r="R2093" s="17" t="s">
        <v>801</v>
      </c>
      <c r="S2093" s="11"/>
      <c r="T2093" s="11"/>
      <c r="U2093" s="10" t="str">
        <f>HYPERLINK("https://pbs.twimg.com/profile_images/871063742003511296/xK2IYbrO.jpg","View")</f>
        <v>View</v>
      </c>
    </row>
    <row r="2094" spans="1:21" ht="30.6">
      <c r="A2094" s="6">
        <v>43438.8512962963</v>
      </c>
      <c r="B2094" s="7" t="str">
        <f>HYPERLINK("https://twitter.com/MalditaSea_Muc","@MalditaSea_Muc")</f>
        <v>@MalditaSea_Muc</v>
      </c>
      <c r="C2094" s="8" t="s">
        <v>6787</v>
      </c>
      <c r="D2094" s="9" t="s">
        <v>6788</v>
      </c>
      <c r="E2094" s="10" t="str">
        <f>HYPERLINK("https://twitter.com/MalditaSea_Muc/status/1070036481954197505","1070036481954197505")</f>
        <v>1070036481954197505</v>
      </c>
      <c r="F2094" s="11"/>
      <c r="G2094" s="13" t="s">
        <v>6789</v>
      </c>
      <c r="H2094" s="11"/>
      <c r="I2094" s="14">
        <v>0</v>
      </c>
      <c r="J2094" s="14">
        <v>0</v>
      </c>
      <c r="K2094" s="15" t="str">
        <f>HYPERLINK("http://twitter.com/download/android","Twitter for Android")</f>
        <v>Twitter for Android</v>
      </c>
      <c r="L2094" s="14">
        <v>14</v>
      </c>
      <c r="M2094" s="14">
        <v>159</v>
      </c>
      <c r="N2094" s="14">
        <v>0</v>
      </c>
      <c r="O2094" s="16"/>
      <c r="P2094" s="6">
        <v>43435.908113425925</v>
      </c>
      <c r="Q2094" s="12" t="s">
        <v>6790</v>
      </c>
      <c r="R2094" s="17" t="s">
        <v>6791</v>
      </c>
      <c r="S2094" s="11"/>
      <c r="T2094" s="11"/>
      <c r="U2094" s="10" t="str">
        <f>HYPERLINK("https://pbs.twimg.com/profile_images/1070444539742220289/tx9lIxIa.jpg","View")</f>
        <v>View</v>
      </c>
    </row>
    <row r="2095" spans="1:21" ht="40.799999999999997">
      <c r="A2095" s="6">
        <v>43438.847314814819</v>
      </c>
      <c r="B2095" s="7" t="str">
        <f>HYPERLINK("https://twitter.com/nichi0san","@nichi0san")</f>
        <v>@nichi0san</v>
      </c>
      <c r="C2095" s="8" t="s">
        <v>6794</v>
      </c>
      <c r="D2095" s="9" t="s">
        <v>6795</v>
      </c>
      <c r="E2095" s="10" t="str">
        <f>HYPERLINK("https://twitter.com/nichi0san/status/1070035038727798784","1070035038727798784")</f>
        <v>1070035038727798784</v>
      </c>
      <c r="F2095" s="11"/>
      <c r="G2095" s="11"/>
      <c r="H2095" s="11"/>
      <c r="I2095" s="14">
        <v>0</v>
      </c>
      <c r="J2095" s="14">
        <v>0</v>
      </c>
      <c r="K2095" s="15" t="str">
        <f>HYPERLINK("http://twitter.com","Twitter Web Client")</f>
        <v>Twitter Web Client</v>
      </c>
      <c r="L2095" s="14">
        <v>320</v>
      </c>
      <c r="M2095" s="14">
        <v>174</v>
      </c>
      <c r="N2095" s="14">
        <v>10</v>
      </c>
      <c r="O2095" s="16"/>
      <c r="P2095" s="6">
        <v>40780.354664351849</v>
      </c>
      <c r="Q2095" s="12" t="s">
        <v>6800</v>
      </c>
      <c r="R2095" s="17" t="s">
        <v>6801</v>
      </c>
      <c r="S2095" s="11"/>
      <c r="T2095" s="11"/>
      <c r="U2095" s="10" t="str">
        <f>HYPERLINK("https://pbs.twimg.com/profile_images/720734539321106433/Vy5hETDj.jpg","View")</f>
        <v>View</v>
      </c>
    </row>
    <row r="2096" spans="1:21" ht="51">
      <c r="A2096" s="6">
        <v>43438.847152777773</v>
      </c>
      <c r="B2096" s="7" t="str">
        <f>HYPERLINK("https://twitter.com/xaviboadavila","@xaviboadavila")</f>
        <v>@xaviboadavila</v>
      </c>
      <c r="C2096" s="8" t="s">
        <v>6805</v>
      </c>
      <c r="D2096" s="9" t="s">
        <v>6806</v>
      </c>
      <c r="E2096" s="10" t="str">
        <f>HYPERLINK("https://twitter.com/xaviboadavila/status/1070034980976365568","1070034980976365568")</f>
        <v>1070034980976365568</v>
      </c>
      <c r="F2096" s="11"/>
      <c r="G2096" s="11"/>
      <c r="H2096" s="11"/>
      <c r="I2096" s="14">
        <v>0</v>
      </c>
      <c r="J2096" s="14">
        <v>1</v>
      </c>
      <c r="K2096" s="15" t="str">
        <f t="shared" ref="K2096:K2097" si="409">HYPERLINK("http://twitter.com/download/iphone","Twitter for iPhone")</f>
        <v>Twitter for iPhone</v>
      </c>
      <c r="L2096" s="14">
        <v>79814</v>
      </c>
      <c r="M2096" s="14">
        <v>76937</v>
      </c>
      <c r="N2096" s="14">
        <v>180</v>
      </c>
      <c r="O2096" s="16"/>
      <c r="P2096" s="6">
        <v>40919.726099537038</v>
      </c>
      <c r="Q2096" s="12" t="s">
        <v>6810</v>
      </c>
      <c r="R2096" s="17" t="s">
        <v>6811</v>
      </c>
      <c r="S2096" s="13" t="s">
        <v>6812</v>
      </c>
      <c r="T2096" s="11"/>
      <c r="U2096" s="10" t="str">
        <f>HYPERLINK("https://pbs.twimg.com/profile_images/471964958322728960/7Yytgae6.jpeg","View")</f>
        <v>View</v>
      </c>
    </row>
    <row r="2097" spans="1:21" ht="61.2">
      <c r="A2097" s="6">
        <v>43438.84652777778</v>
      </c>
      <c r="B2097" s="7" t="str">
        <f>HYPERLINK("https://twitter.com/Albert_Rivera","@Albert_Rivera")</f>
        <v>@Albert_Rivera</v>
      </c>
      <c r="C2097" s="8" t="s">
        <v>443</v>
      </c>
      <c r="D2097" s="9" t="s">
        <v>8219</v>
      </c>
      <c r="E2097" s="10" t="str">
        <f>HYPERLINK("https://twitter.com/Albert_Rivera/status/1070034753485762565","1070034753485762565")</f>
        <v>1070034753485762565</v>
      </c>
      <c r="F2097" s="12" t="s">
        <v>8220</v>
      </c>
      <c r="G2097" s="11"/>
      <c r="H2097" s="11"/>
      <c r="I2097" s="14">
        <v>733</v>
      </c>
      <c r="J2097" s="14">
        <v>1688</v>
      </c>
      <c r="K2097" s="15" t="str">
        <f t="shared" si="409"/>
        <v>Twitter for iPhone</v>
      </c>
      <c r="L2097" s="14">
        <v>1075808</v>
      </c>
      <c r="M2097" s="14">
        <v>2547</v>
      </c>
      <c r="N2097" s="14">
        <v>5114</v>
      </c>
      <c r="O2097" s="19" t="s">
        <v>42</v>
      </c>
      <c r="P2097" s="6">
        <v>40205.748171296298</v>
      </c>
      <c r="Q2097" s="12" t="s">
        <v>137</v>
      </c>
      <c r="R2097" s="17" t="s">
        <v>450</v>
      </c>
      <c r="S2097" s="13" t="s">
        <v>452</v>
      </c>
      <c r="T2097" s="11"/>
      <c r="U2097" s="10" t="str">
        <f>HYPERLINK("https://pbs.twimg.com/profile_images/1030708936779988993/RncDM4EZ.jpg","View")</f>
        <v>View</v>
      </c>
    </row>
    <row r="2098" spans="1:21" ht="102">
      <c r="A2098" s="6">
        <v>43438.846273148149</v>
      </c>
      <c r="B2098" s="7" t="str">
        <f>HYPERLINK("https://twitter.com/kapytantan","@kapytantan")</f>
        <v>@kapytantan</v>
      </c>
      <c r="C2098" s="8" t="s">
        <v>6813</v>
      </c>
      <c r="D2098" s="9" t="s">
        <v>6814</v>
      </c>
      <c r="E2098" s="10" t="str">
        <f>HYPERLINK("https://twitter.com/kapytantan/status/1070034663710908417","1070034663710908417")</f>
        <v>1070034663710908417</v>
      </c>
      <c r="F2098" s="13" t="s">
        <v>6815</v>
      </c>
      <c r="G2098" s="13" t="s">
        <v>6816</v>
      </c>
      <c r="H2098" s="11"/>
      <c r="I2098" s="14">
        <v>0</v>
      </c>
      <c r="J2098" s="14">
        <v>0</v>
      </c>
      <c r="K2098" s="15" t="str">
        <f>HYPERLINK("http://twitter.com/#!/download/ipad","Twitter for iPad")</f>
        <v>Twitter for iPad</v>
      </c>
      <c r="L2098" s="14">
        <v>76</v>
      </c>
      <c r="M2098" s="14">
        <v>260</v>
      </c>
      <c r="N2098" s="14">
        <v>0</v>
      </c>
      <c r="O2098" s="16"/>
      <c r="P2098" s="6">
        <v>42229.9527662037</v>
      </c>
      <c r="Q2098" s="12" t="s">
        <v>295</v>
      </c>
      <c r="R2098" s="17" t="s">
        <v>6819</v>
      </c>
      <c r="S2098" s="11"/>
      <c r="T2098" s="11"/>
      <c r="U2098" s="10" t="str">
        <f>HYPERLINK("https://pbs.twimg.com/profile_images/926779562066788354/B0rrLNnD.jpg","View")</f>
        <v>View</v>
      </c>
    </row>
    <row r="2099" spans="1:21" ht="40.799999999999997">
      <c r="A2099" s="6">
        <v>43438.84175925926</v>
      </c>
      <c r="B2099" s="7" t="str">
        <f>HYPERLINK("https://twitter.com/EvaJosefinaS","@EvaJosefinaS")</f>
        <v>@EvaJosefinaS</v>
      </c>
      <c r="C2099" s="8" t="s">
        <v>8221</v>
      </c>
      <c r="D2099" s="9" t="s">
        <v>8222</v>
      </c>
      <c r="E2099" s="10" t="str">
        <f>HYPERLINK("https://twitter.com/EvaJosefinaS/status/1070033024895643650","1070033024895643650")</f>
        <v>1070033024895643650</v>
      </c>
      <c r="F2099" s="11"/>
      <c r="G2099" s="11"/>
      <c r="H2099" s="11"/>
      <c r="I2099" s="14">
        <v>1</v>
      </c>
      <c r="J2099" s="14">
        <v>3</v>
      </c>
      <c r="K2099" s="15" t="str">
        <f>HYPERLINK("http://twitter.com","Twitter Web Client")</f>
        <v>Twitter Web Client</v>
      </c>
      <c r="L2099" s="14">
        <v>293</v>
      </c>
      <c r="M2099" s="14">
        <v>474</v>
      </c>
      <c r="N2099" s="14">
        <v>2</v>
      </c>
      <c r="O2099" s="16"/>
      <c r="P2099" s="6">
        <v>42761.228807870371</v>
      </c>
      <c r="Q2099" s="11"/>
      <c r="R2099" s="17" t="s">
        <v>8223</v>
      </c>
      <c r="S2099" s="11"/>
      <c r="T2099" s="11"/>
      <c r="U2099" s="10" t="str">
        <f>HYPERLINK("https://pbs.twimg.com/profile_images/1062693374120116225/Vc4V9bvL.jpg","View")</f>
        <v>View</v>
      </c>
    </row>
    <row r="2100" spans="1:21" ht="61.2">
      <c r="A2100" s="6">
        <v>43438.841585648144</v>
      </c>
      <c r="B2100" s="7" t="str">
        <f>HYPERLINK("https://twitter.com/VayanPalCarajo","@VayanPalCarajo")</f>
        <v>@VayanPalCarajo</v>
      </c>
      <c r="C2100" s="8" t="s">
        <v>6820</v>
      </c>
      <c r="D2100" s="9" t="s">
        <v>6821</v>
      </c>
      <c r="E2100" s="10" t="str">
        <f>HYPERLINK("https://twitter.com/VayanPalCarajo/status/1070032963029663744","1070032963029663744")</f>
        <v>1070032963029663744</v>
      </c>
      <c r="F2100" s="13" t="s">
        <v>6822</v>
      </c>
      <c r="G2100" s="13" t="s">
        <v>6823</v>
      </c>
      <c r="H2100" s="11"/>
      <c r="I2100" s="14">
        <v>0</v>
      </c>
      <c r="J2100" s="14">
        <v>0</v>
      </c>
      <c r="K2100" s="15" t="str">
        <f>HYPERLINK("https://www.hootsuite.com","Hootsuite Inc.")</f>
        <v>Hootsuite Inc.</v>
      </c>
      <c r="L2100" s="14">
        <v>3241</v>
      </c>
      <c r="M2100" s="14">
        <v>133</v>
      </c>
      <c r="N2100" s="14">
        <v>90</v>
      </c>
      <c r="O2100" s="16"/>
      <c r="P2100" s="6">
        <v>39985.067453703705</v>
      </c>
      <c r="Q2100" s="12" t="s">
        <v>6824</v>
      </c>
      <c r="R2100" s="17" t="s">
        <v>6825</v>
      </c>
      <c r="S2100" s="11"/>
      <c r="T2100" s="11"/>
      <c r="U2100" s="10" t="str">
        <f>HYPERLINK("https://pbs.twimg.com/profile_images/857403559960342528/tT7KmO82.jpg","View")</f>
        <v>View</v>
      </c>
    </row>
    <row r="2101" spans="1:21" ht="61.2">
      <c r="A2101" s="6">
        <v>43438.841215277775</v>
      </c>
      <c r="B2101" s="7" t="str">
        <f>HYPERLINK("https://twitter.com/nicopulido_n","@nicopulido_n")</f>
        <v>@nicopulido_n</v>
      </c>
      <c r="C2101" s="8" t="s">
        <v>6826</v>
      </c>
      <c r="D2101" s="9" t="s">
        <v>6827</v>
      </c>
      <c r="E2101" s="10" t="str">
        <f>HYPERLINK("https://twitter.com/nicopulido_n/status/1070032828111433728","1070032828111433728")</f>
        <v>1070032828111433728</v>
      </c>
      <c r="F2101" s="13" t="s">
        <v>6828</v>
      </c>
      <c r="G2101" s="11"/>
      <c r="H2101" s="11"/>
      <c r="I2101" s="14">
        <v>0</v>
      </c>
      <c r="J2101" s="14">
        <v>0</v>
      </c>
      <c r="K2101" s="15" t="str">
        <f t="shared" ref="K2101:K2102" si="410">HYPERLINK("http://twitter.com","Twitter Web Client")</f>
        <v>Twitter Web Client</v>
      </c>
      <c r="L2101" s="14">
        <v>173</v>
      </c>
      <c r="M2101" s="14">
        <v>359</v>
      </c>
      <c r="N2101" s="14">
        <v>4</v>
      </c>
      <c r="O2101" s="16"/>
      <c r="P2101" s="6">
        <v>43195.167210648149</v>
      </c>
      <c r="Q2101" s="12" t="s">
        <v>6829</v>
      </c>
      <c r="R2101" s="17" t="s">
        <v>6830</v>
      </c>
      <c r="S2101" s="11"/>
      <c r="T2101" s="11"/>
      <c r="U2101" s="10" t="str">
        <f>HYPERLINK("https://pbs.twimg.com/profile_images/1059105439114280960/SSK__XLb.jpg","View")</f>
        <v>View</v>
      </c>
    </row>
    <row r="2102" spans="1:21" ht="51">
      <c r="A2102" s="6">
        <v>43438.839837962965</v>
      </c>
      <c r="B2102" s="7" t="str">
        <f>HYPERLINK("https://twitter.com/javimadronal","@javimadronal")</f>
        <v>@javimadronal</v>
      </c>
      <c r="C2102" s="8" t="s">
        <v>6831</v>
      </c>
      <c r="D2102" s="9" t="s">
        <v>6832</v>
      </c>
      <c r="E2102" s="10" t="str">
        <f>HYPERLINK("https://twitter.com/javimadronal/status/1070032332223078401","1070032332223078401")</f>
        <v>1070032332223078401</v>
      </c>
      <c r="F2102" s="11"/>
      <c r="G2102" s="11"/>
      <c r="H2102" s="11"/>
      <c r="I2102" s="14">
        <v>0</v>
      </c>
      <c r="J2102" s="14">
        <v>0</v>
      </c>
      <c r="K2102" s="15" t="str">
        <f t="shared" si="410"/>
        <v>Twitter Web Client</v>
      </c>
      <c r="L2102" s="14">
        <v>95</v>
      </c>
      <c r="M2102" s="14">
        <v>376</v>
      </c>
      <c r="N2102" s="14">
        <v>1</v>
      </c>
      <c r="O2102" s="16"/>
      <c r="P2102" s="6">
        <v>41856.755555555559</v>
      </c>
      <c r="Q2102" s="11"/>
      <c r="R2102" s="17" t="s">
        <v>6833</v>
      </c>
      <c r="S2102" s="13" t="s">
        <v>6834</v>
      </c>
      <c r="T2102" s="11"/>
      <c r="U2102" s="10" t="str">
        <f>HYPERLINK("https://pbs.twimg.com/profile_images/501064687040331776/MDyWsf7W.jpeg","View")</f>
        <v>View</v>
      </c>
    </row>
    <row r="2103" spans="1:21" ht="102">
      <c r="A2103" s="6">
        <v>43438.838148148148</v>
      </c>
      <c r="B2103" s="7" t="str">
        <f>HYPERLINK("https://twitter.com/m_solea","@m_solea")</f>
        <v>@m_solea</v>
      </c>
      <c r="C2103" s="8" t="s">
        <v>6835</v>
      </c>
      <c r="D2103" s="9" t="s">
        <v>6836</v>
      </c>
      <c r="E2103" s="10" t="str">
        <f>HYPERLINK("https://twitter.com/m_solea/status/1070031719879901185","1070031719879901185")</f>
        <v>1070031719879901185</v>
      </c>
      <c r="F2103" s="13" t="s">
        <v>6815</v>
      </c>
      <c r="G2103" s="13" t="s">
        <v>6816</v>
      </c>
      <c r="H2103" s="11"/>
      <c r="I2103" s="14">
        <v>0</v>
      </c>
      <c r="J2103" s="14">
        <v>0</v>
      </c>
      <c r="K2103" s="15" t="str">
        <f>HYPERLINK("http://twitter.com/download/android","Twitter for Android")</f>
        <v>Twitter for Android</v>
      </c>
      <c r="L2103" s="14">
        <v>175</v>
      </c>
      <c r="M2103" s="14">
        <v>213</v>
      </c>
      <c r="N2103" s="14">
        <v>0</v>
      </c>
      <c r="O2103" s="16"/>
      <c r="P2103" s="6">
        <v>43402.975069444445</v>
      </c>
      <c r="Q2103" s="12" t="s">
        <v>6837</v>
      </c>
      <c r="R2103" s="17" t="s">
        <v>6838</v>
      </c>
      <c r="S2103" s="11"/>
      <c r="T2103" s="11"/>
      <c r="U2103" s="10" t="str">
        <f>HYPERLINK("https://pbs.twimg.com/profile_images/1069961724059680770/Bhnu36q4.jpg","View")</f>
        <v>View</v>
      </c>
    </row>
    <row r="2104" spans="1:21" ht="51">
      <c r="A2104" s="6">
        <v>43438.837604166663</v>
      </c>
      <c r="B2104" s="7" t="str">
        <f>HYPERLINK("https://twitter.com/elfary74","@elfary74")</f>
        <v>@elfary74</v>
      </c>
      <c r="C2104" s="8" t="s">
        <v>4736</v>
      </c>
      <c r="D2104" s="9" t="s">
        <v>6839</v>
      </c>
      <c r="E2104" s="10" t="str">
        <f>HYPERLINK("https://twitter.com/elfary74/status/1070031518985273346","1070031518985273346")</f>
        <v>1070031518985273346</v>
      </c>
      <c r="F2104" s="11"/>
      <c r="G2104" s="11"/>
      <c r="H2104" s="11"/>
      <c r="I2104" s="14">
        <v>0</v>
      </c>
      <c r="J2104" s="14">
        <v>0</v>
      </c>
      <c r="K2104" s="15" t="str">
        <f>HYPERLINK("http://twitter.com/#!/download/ipad","Twitter for iPad")</f>
        <v>Twitter for iPad</v>
      </c>
      <c r="L2104" s="14">
        <v>196</v>
      </c>
      <c r="M2104" s="14">
        <v>298</v>
      </c>
      <c r="N2104" s="14">
        <v>2</v>
      </c>
      <c r="O2104" s="16"/>
      <c r="P2104" s="6">
        <v>40008.400127314817</v>
      </c>
      <c r="Q2104" s="12" t="s">
        <v>29</v>
      </c>
      <c r="R2104" s="17" t="s">
        <v>5950</v>
      </c>
      <c r="S2104" s="11"/>
      <c r="T2104" s="11"/>
      <c r="U2104" s="10" t="str">
        <f>HYPERLINK("https://pbs.twimg.com/profile_images/1047549534539276288/6RsyeDiZ.jpg","View")</f>
        <v>View</v>
      </c>
    </row>
    <row r="2105" spans="1:21" ht="40.799999999999997">
      <c r="A2105" s="6">
        <v>43438.837500000001</v>
      </c>
      <c r="B2105" s="7" t="str">
        <f>HYPERLINK("https://twitter.com/SEVILLECAPITAL","@SEVILLECAPITAL")</f>
        <v>@SEVILLECAPITAL</v>
      </c>
      <c r="C2105" s="8" t="s">
        <v>8224</v>
      </c>
      <c r="D2105" s="9" t="s">
        <v>8225</v>
      </c>
      <c r="E2105" s="10" t="str">
        <f>HYPERLINK("https://twitter.com/SEVILLECAPITAL/status/1070031484197789696","1070031484197789696")</f>
        <v>1070031484197789696</v>
      </c>
      <c r="F2105" s="11"/>
      <c r="G2105" s="13" t="s">
        <v>8226</v>
      </c>
      <c r="H2105" s="11"/>
      <c r="I2105" s="14">
        <v>0</v>
      </c>
      <c r="J2105" s="14">
        <v>0</v>
      </c>
      <c r="K2105" s="15" t="str">
        <f t="shared" ref="K2105:K2106" si="411">HYPERLINK("https://mobile.twitter.com","Twitter Lite")</f>
        <v>Twitter Lite</v>
      </c>
      <c r="L2105" s="14">
        <v>2494</v>
      </c>
      <c r="M2105" s="14">
        <v>2261</v>
      </c>
      <c r="N2105" s="14">
        <v>22</v>
      </c>
      <c r="O2105" s="16"/>
      <c r="P2105" s="6">
        <v>41400.910914351851</v>
      </c>
      <c r="Q2105" s="12" t="s">
        <v>1398</v>
      </c>
      <c r="R2105" s="17" t="s">
        <v>8227</v>
      </c>
      <c r="S2105" s="11"/>
      <c r="T2105" s="11"/>
      <c r="U2105" s="10" t="str">
        <f>HYPERLINK("https://pbs.twimg.com/profile_images/765955638107205632/JdAZu1d-.jpg","View")</f>
        <v>View</v>
      </c>
    </row>
    <row r="2106" spans="1:21" ht="40.799999999999997">
      <c r="A2106" s="6">
        <v>43438.837094907409</v>
      </c>
      <c r="B2106" s="7" t="str">
        <f>HYPERLINK("https://twitter.com/EstTartessica","@EstTartessica")</f>
        <v>@EstTartessica</v>
      </c>
      <c r="C2106" s="20" t="s">
        <v>951</v>
      </c>
      <c r="D2106" s="9" t="s">
        <v>8228</v>
      </c>
      <c r="E2106" s="10" t="str">
        <f>HYPERLINK("https://twitter.com/EstTartessica/status/1070031335669030912","1070031335669030912")</f>
        <v>1070031335669030912</v>
      </c>
      <c r="F2106" s="12" t="s">
        <v>8229</v>
      </c>
      <c r="G2106" s="13" t="s">
        <v>8230</v>
      </c>
      <c r="H2106" s="11"/>
      <c r="I2106" s="14">
        <v>3</v>
      </c>
      <c r="J2106" s="14">
        <v>2</v>
      </c>
      <c r="K2106" s="15" t="str">
        <f t="shared" si="411"/>
        <v>Twitter Lite</v>
      </c>
      <c r="L2106" s="14">
        <v>297</v>
      </c>
      <c r="M2106" s="14">
        <v>906</v>
      </c>
      <c r="N2106" s="14">
        <v>1</v>
      </c>
      <c r="O2106" s="16"/>
      <c r="P2106" s="6">
        <v>43267.836319444439</v>
      </c>
      <c r="Q2106" s="11"/>
      <c r="R2106" s="17" t="s">
        <v>954</v>
      </c>
      <c r="S2106" s="11"/>
      <c r="T2106" s="11"/>
      <c r="U2106" s="10" t="str">
        <f>HYPERLINK("https://pbs.twimg.com/profile_images/1069354805750042624/3HNj9_X0.jpg","View")</f>
        <v>View</v>
      </c>
    </row>
    <row r="2107" spans="1:21" ht="40.799999999999997">
      <c r="A2107" s="6">
        <v>43438.836377314816</v>
      </c>
      <c r="B2107" s="7" t="str">
        <f>HYPERLINK("https://twitter.com/Noquemecanso","@Noquemecanso")</f>
        <v>@Noquemecanso</v>
      </c>
      <c r="C2107" s="8" t="s">
        <v>6840</v>
      </c>
      <c r="D2107" s="9" t="s">
        <v>6841</v>
      </c>
      <c r="E2107" s="10" t="str">
        <f>HYPERLINK("https://twitter.com/Noquemecanso/status/1070031075899043841","1070031075899043841")</f>
        <v>1070031075899043841</v>
      </c>
      <c r="F2107" s="11"/>
      <c r="G2107" s="11"/>
      <c r="H2107" s="11"/>
      <c r="I2107" s="14">
        <v>0</v>
      </c>
      <c r="J2107" s="14">
        <v>1</v>
      </c>
      <c r="K2107" s="15" t="str">
        <f>HYPERLINK("http://twitter.com/download/iphone","Twitter for iPhone")</f>
        <v>Twitter for iPhone</v>
      </c>
      <c r="L2107" s="14">
        <v>569</v>
      </c>
      <c r="M2107" s="14">
        <v>2012</v>
      </c>
      <c r="N2107" s="14">
        <v>5</v>
      </c>
      <c r="O2107" s="16"/>
      <c r="P2107" s="6">
        <v>39958.825370370367</v>
      </c>
      <c r="Q2107" s="12" t="s">
        <v>6844</v>
      </c>
      <c r="R2107" s="17" t="s">
        <v>6845</v>
      </c>
      <c r="S2107" s="13" t="s">
        <v>6846</v>
      </c>
      <c r="T2107" s="11"/>
      <c r="U2107" s="10" t="str">
        <f>HYPERLINK("https://pbs.twimg.com/profile_images/948927279698202624/Cw2oPkeY.jpg","View")</f>
        <v>View</v>
      </c>
    </row>
    <row r="2108" spans="1:21" ht="51">
      <c r="A2108" s="6">
        <v>43438.834953703699</v>
      </c>
      <c r="B2108" s="7" t="str">
        <f>HYPERLINK("https://twitter.com/SalvaGarca4","@SalvaGarca4")</f>
        <v>@SalvaGarca4</v>
      </c>
      <c r="C2108" s="8" t="s">
        <v>8231</v>
      </c>
      <c r="D2108" s="9" t="s">
        <v>8232</v>
      </c>
      <c r="E2108" s="10" t="str">
        <f>HYPERLINK("https://twitter.com/SalvaGarca4/status/1070030558623920128","1070030558623920128")</f>
        <v>1070030558623920128</v>
      </c>
      <c r="F2108" s="11"/>
      <c r="G2108" s="11"/>
      <c r="H2108" s="11"/>
      <c r="I2108" s="14">
        <v>11</v>
      </c>
      <c r="J2108" s="14">
        <v>14</v>
      </c>
      <c r="K2108" s="15" t="str">
        <f>HYPERLINK("https://mobile.twitter.com","Twitter Lite")</f>
        <v>Twitter Lite</v>
      </c>
      <c r="L2108" s="14">
        <v>262</v>
      </c>
      <c r="M2108" s="14">
        <v>1001</v>
      </c>
      <c r="N2108" s="14">
        <v>2</v>
      </c>
      <c r="O2108" s="16"/>
      <c r="P2108" s="6">
        <v>42935.757604166662</v>
      </c>
      <c r="Q2108" s="11"/>
      <c r="R2108" s="17" t="s">
        <v>8233</v>
      </c>
      <c r="S2108" s="13" t="s">
        <v>8234</v>
      </c>
      <c r="T2108" s="11"/>
      <c r="U2108" s="10" t="str">
        <f>HYPERLINK("https://pbs.twimg.com/profile_images/887712743683436545/RgUWiq5g.jpg","View")</f>
        <v>View</v>
      </c>
    </row>
    <row r="2109" spans="1:21" ht="51">
      <c r="A2109" s="6">
        <v>43438.834027777775</v>
      </c>
      <c r="B2109" s="7" t="str">
        <f>HYPERLINK("https://twitter.com/bitMomentum","@bitMomentum")</f>
        <v>@bitMomentum</v>
      </c>
      <c r="C2109" s="8" t="s">
        <v>1889</v>
      </c>
      <c r="D2109" s="9" t="s">
        <v>6848</v>
      </c>
      <c r="E2109" s="10" t="str">
        <f>HYPERLINK("https://twitter.com/bitMomentum/status/1070030223662559233","1070030223662559233")</f>
        <v>1070030223662559233</v>
      </c>
      <c r="F2109" s="11"/>
      <c r="G2109" s="11"/>
      <c r="H2109" s="11"/>
      <c r="I2109" s="14">
        <v>1</v>
      </c>
      <c r="J2109" s="14">
        <v>2</v>
      </c>
      <c r="K2109" s="15" t="str">
        <f>HYPERLINK("http://www.bitmomentum.com","bitMomentum Bot")</f>
        <v>bitMomentum Bot</v>
      </c>
      <c r="L2109" s="14">
        <v>10254</v>
      </c>
      <c r="M2109" s="14">
        <v>1059</v>
      </c>
      <c r="N2109" s="14">
        <v>263</v>
      </c>
      <c r="O2109" s="16"/>
      <c r="P2109" s="6">
        <v>41608.667511574073</v>
      </c>
      <c r="Q2109" s="11"/>
      <c r="R2109" s="17" t="s">
        <v>1897</v>
      </c>
      <c r="S2109" s="13" t="s">
        <v>1898</v>
      </c>
      <c r="T2109" s="11"/>
      <c r="U2109" s="10" t="str">
        <f>HYPERLINK("https://pbs.twimg.com/profile_images/378800000862185241/20ij2H3u.png","View")</f>
        <v>View</v>
      </c>
    </row>
    <row r="2110" spans="1:21" ht="40.799999999999997">
      <c r="A2110" s="6">
        <v>43438.833344907413</v>
      </c>
      <c r="B2110" s="7" t="str">
        <f>HYPERLINK("https://twitter.com/CsCantabria","@CsCantabria")</f>
        <v>@CsCantabria</v>
      </c>
      <c r="C2110" s="8" t="s">
        <v>370</v>
      </c>
      <c r="D2110" s="9" t="s">
        <v>6850</v>
      </c>
      <c r="E2110" s="10" t="str">
        <f>HYPERLINK("https://twitter.com/CsCantabria/status/1070029976060211202","1070029976060211202")</f>
        <v>1070029976060211202</v>
      </c>
      <c r="F2110" s="13" t="s">
        <v>6851</v>
      </c>
      <c r="G2110" s="13" t="s">
        <v>6852</v>
      </c>
      <c r="H2110" s="11"/>
      <c r="I2110" s="14">
        <v>1</v>
      </c>
      <c r="J2110" s="14">
        <v>0</v>
      </c>
      <c r="K2110" s="15" t="str">
        <f>HYPERLINK("https://studio.twitter.com","Twitter Media Studio")</f>
        <v>Twitter Media Studio</v>
      </c>
      <c r="L2110" s="14">
        <v>3565</v>
      </c>
      <c r="M2110" s="14">
        <v>339</v>
      </c>
      <c r="N2110" s="14">
        <v>94</v>
      </c>
      <c r="O2110" s="19" t="s">
        <v>42</v>
      </c>
      <c r="P2110" s="6">
        <v>41731.566608796296</v>
      </c>
      <c r="Q2110" s="12" t="s">
        <v>377</v>
      </c>
      <c r="R2110" s="17" t="s">
        <v>378</v>
      </c>
      <c r="S2110" s="13" t="s">
        <v>379</v>
      </c>
      <c r="T2110" s="11"/>
      <c r="U2110" s="10" t="str">
        <f>HYPERLINK("https://pbs.twimg.com/profile_images/1053571729455529984/zfGYdPdw.jpg","View")</f>
        <v>View</v>
      </c>
    </row>
    <row r="2111" spans="1:21" ht="51">
      <c r="A2111" s="6">
        <v>43438.833333333328</v>
      </c>
      <c r="B2111" s="7" t="str">
        <f>HYPERLINK("https://twitter.com/caval100","@caval100")</f>
        <v>@caval100</v>
      </c>
      <c r="C2111" s="8" t="s">
        <v>1386</v>
      </c>
      <c r="D2111" s="9" t="s">
        <v>8235</v>
      </c>
      <c r="E2111" s="10" t="str">
        <f>HYPERLINK("https://twitter.com/caval100/status/1070029973350572032","1070029973350572032")</f>
        <v>1070029973350572032</v>
      </c>
      <c r="F2111" s="13" t="s">
        <v>8236</v>
      </c>
      <c r="G2111" s="11"/>
      <c r="H2111" s="11"/>
      <c r="I2111" s="14">
        <v>0</v>
      </c>
      <c r="J2111" s="14">
        <v>0</v>
      </c>
      <c r="K2111" s="15" t="str">
        <f>HYPERLINK("https://about.twitter.com/products/tweetdeck","TweetDeck")</f>
        <v>TweetDeck</v>
      </c>
      <c r="L2111" s="14">
        <v>119343</v>
      </c>
      <c r="M2111" s="14">
        <v>94000</v>
      </c>
      <c r="N2111" s="14">
        <v>982</v>
      </c>
      <c r="O2111" s="16"/>
      <c r="P2111" s="6">
        <v>40079.437094907407</v>
      </c>
      <c r="Q2111" s="12" t="s">
        <v>1392</v>
      </c>
      <c r="R2111" s="17" t="s">
        <v>1393</v>
      </c>
      <c r="S2111" s="13" t="s">
        <v>1394</v>
      </c>
      <c r="T2111" s="11"/>
      <c r="U2111" s="10" t="str">
        <f>HYPERLINK("https://pbs.twimg.com/profile_images/965350678301429760/uvGI7g8U.jpg","View")</f>
        <v>View</v>
      </c>
    </row>
    <row r="2112" spans="1:21" ht="71.400000000000006">
      <c r="A2112" s="6">
        <v>43438.830185185187</v>
      </c>
      <c r="B2112" s="7" t="str">
        <f>HYPERLINK("https://twitter.com/3404metros","@3404metros")</f>
        <v>@3404metros</v>
      </c>
      <c r="C2112" s="8" t="s">
        <v>6853</v>
      </c>
      <c r="D2112" s="9" t="s">
        <v>6854</v>
      </c>
      <c r="E2112" s="10" t="str">
        <f>HYPERLINK("https://twitter.com/3404metros/status/1070028831619235840","1070028831619235840")</f>
        <v>1070028831619235840</v>
      </c>
      <c r="F2112" s="12" t="s">
        <v>6316</v>
      </c>
      <c r="G2112" s="11"/>
      <c r="H2112" s="11"/>
      <c r="I2112" s="14">
        <v>0</v>
      </c>
      <c r="J2112" s="14">
        <v>1</v>
      </c>
      <c r="K2112" s="15" t="str">
        <f>HYPERLINK("http://twitter.com/download/iphone","Twitter for iPhone")</f>
        <v>Twitter for iPhone</v>
      </c>
      <c r="L2112" s="14">
        <v>1316</v>
      </c>
      <c r="M2112" s="14">
        <v>1384</v>
      </c>
      <c r="N2112" s="14">
        <v>197</v>
      </c>
      <c r="O2112" s="16"/>
      <c r="P2112" s="6">
        <v>39972.602986111109</v>
      </c>
      <c r="Q2112" s="12" t="s">
        <v>6857</v>
      </c>
      <c r="R2112" s="17" t="s">
        <v>6858</v>
      </c>
      <c r="S2112" s="13" t="s">
        <v>6859</v>
      </c>
      <c r="T2112" s="11"/>
      <c r="U2112" s="10" t="str">
        <f>HYPERLINK("https://pbs.twimg.com/profile_images/1048564715935490048/2wRkFG_J.jpg","View")</f>
        <v>View</v>
      </c>
    </row>
    <row r="2113" spans="1:21" ht="40.799999999999997">
      <c r="A2113" s="6">
        <v>43438.827951388885</v>
      </c>
      <c r="B2113" s="7" t="str">
        <f>HYPERLINK("https://twitter.com/cbarrosg","@cbarrosg")</f>
        <v>@cbarrosg</v>
      </c>
      <c r="C2113" s="8" t="s">
        <v>8237</v>
      </c>
      <c r="D2113" s="9" t="s">
        <v>8238</v>
      </c>
      <c r="E2113" s="10" t="str">
        <f>HYPERLINK("https://twitter.com/cbarrosg/status/1070028025012609024","1070028025012609024")</f>
        <v>1070028025012609024</v>
      </c>
      <c r="F2113" s="13" t="s">
        <v>5581</v>
      </c>
      <c r="G2113" s="13" t="s">
        <v>8239</v>
      </c>
      <c r="H2113" s="11"/>
      <c r="I2113" s="14">
        <v>0</v>
      </c>
      <c r="J2113" s="14">
        <v>1</v>
      </c>
      <c r="K2113" s="15" t="str">
        <f t="shared" ref="K2113:K2114" si="412">HYPERLINK("http://twitter.com","Twitter Web Client")</f>
        <v>Twitter Web Client</v>
      </c>
      <c r="L2113" s="14">
        <v>1965</v>
      </c>
      <c r="M2113" s="14">
        <v>1632</v>
      </c>
      <c r="N2113" s="14">
        <v>56</v>
      </c>
      <c r="O2113" s="16"/>
      <c r="P2113" s="6">
        <v>40264.410266203704</v>
      </c>
      <c r="Q2113" s="12" t="s">
        <v>8240</v>
      </c>
      <c r="R2113" s="17" t="s">
        <v>8241</v>
      </c>
      <c r="S2113" s="13" t="s">
        <v>8242</v>
      </c>
      <c r="T2113" s="11"/>
      <c r="U2113" s="10" t="str">
        <f>HYPERLINK("https://pbs.twimg.com/profile_images/1663034729/images.jpg","View")</f>
        <v>View</v>
      </c>
    </row>
    <row r="2114" spans="1:21" ht="40.799999999999997">
      <c r="A2114" s="6">
        <v>43438.827002314814</v>
      </c>
      <c r="B2114" s="7" t="str">
        <f>HYPERLINK("https://twitter.com/PepeWilliamMunn","@PepeWilliamMunn")</f>
        <v>@PepeWilliamMunn</v>
      </c>
      <c r="C2114" s="8" t="s">
        <v>4566</v>
      </c>
      <c r="D2114" s="9" t="s">
        <v>6860</v>
      </c>
      <c r="E2114" s="10" t="str">
        <f>HYPERLINK("https://twitter.com/PepeWilliamMunn/status/1070027679351627776","1070027679351627776")</f>
        <v>1070027679351627776</v>
      </c>
      <c r="F2114" s="11"/>
      <c r="G2114" s="11"/>
      <c r="H2114" s="11"/>
      <c r="I2114" s="14">
        <v>1</v>
      </c>
      <c r="J2114" s="14">
        <v>2</v>
      </c>
      <c r="K2114" s="15" t="str">
        <f t="shared" si="412"/>
        <v>Twitter Web Client</v>
      </c>
      <c r="L2114" s="14">
        <v>4142</v>
      </c>
      <c r="M2114" s="14">
        <v>4006</v>
      </c>
      <c r="N2114" s="14">
        <v>52</v>
      </c>
      <c r="O2114" s="16"/>
      <c r="P2114" s="6">
        <v>40870.462893518517</v>
      </c>
      <c r="Q2114" s="12" t="s">
        <v>137</v>
      </c>
      <c r="R2114" s="17" t="s">
        <v>4568</v>
      </c>
      <c r="S2114" s="13" t="s">
        <v>4569</v>
      </c>
      <c r="T2114" s="11"/>
      <c r="U2114" s="10" t="str">
        <f>HYPERLINK("https://pbs.twimg.com/profile_images/2870078327/2112ed271f1263253afafb4fb04f9722.jpeg","View")</f>
        <v>View</v>
      </c>
    </row>
    <row r="2115" spans="1:21" ht="51">
      <c r="A2115" s="6">
        <v>43438.825185185182</v>
      </c>
      <c r="B2115" s="7" t="str">
        <f>HYPERLINK("https://twitter.com/UlisesGamez10","@UlisesGamez10")</f>
        <v>@UlisesGamez10</v>
      </c>
      <c r="C2115" s="8" t="s">
        <v>3569</v>
      </c>
      <c r="D2115" s="9" t="s">
        <v>6863</v>
      </c>
      <c r="E2115" s="10" t="str">
        <f>HYPERLINK("https://twitter.com/UlisesGamez10/status/1070027020082532353","1070027020082532353")</f>
        <v>1070027020082532353</v>
      </c>
      <c r="F2115" s="11"/>
      <c r="G2115" s="11"/>
      <c r="H2115" s="11"/>
      <c r="I2115" s="14">
        <v>0</v>
      </c>
      <c r="J2115" s="14">
        <v>0</v>
      </c>
      <c r="K2115" s="15" t="str">
        <f>HYPERLINK("http://twitter.com/download/android","Twitter for Android")</f>
        <v>Twitter for Android</v>
      </c>
      <c r="L2115" s="14">
        <v>1184</v>
      </c>
      <c r="M2115" s="14">
        <v>5002</v>
      </c>
      <c r="N2115" s="14">
        <v>0</v>
      </c>
      <c r="O2115" s="16"/>
      <c r="P2115" s="6">
        <v>43190.59783564815</v>
      </c>
      <c r="Q2115" s="12" t="s">
        <v>3571</v>
      </c>
      <c r="R2115" s="17" t="s">
        <v>3572</v>
      </c>
      <c r="S2115" s="11"/>
      <c r="T2115" s="11"/>
      <c r="U2115" s="10" t="str">
        <f>HYPERLINK("https://pbs.twimg.com/profile_images/1068881444196499456/MCgxp2WR.jpg","View")</f>
        <v>View</v>
      </c>
    </row>
    <row r="2116" spans="1:21" ht="61.2">
      <c r="A2116" s="6">
        <v>43438.823333333334</v>
      </c>
      <c r="B2116" s="7" t="str">
        <f>HYPERLINK("https://twitter.com/MiguelRS85","@MiguelRS85")</f>
        <v>@MiguelRS85</v>
      </c>
      <c r="C2116" s="8" t="s">
        <v>6864</v>
      </c>
      <c r="D2116" s="9" t="s">
        <v>6865</v>
      </c>
      <c r="E2116" s="10" t="str">
        <f>HYPERLINK("https://twitter.com/MiguelRS85/status/1070026349593722882","1070026349593722882")</f>
        <v>1070026349593722882</v>
      </c>
      <c r="F2116" s="11"/>
      <c r="G2116" s="11"/>
      <c r="H2116" s="11"/>
      <c r="I2116" s="14">
        <v>0</v>
      </c>
      <c r="J2116" s="14">
        <v>0</v>
      </c>
      <c r="K2116" s="15" t="str">
        <f>HYPERLINK("http://twitter.com/download/iphone","Twitter for iPhone")</f>
        <v>Twitter for iPhone</v>
      </c>
      <c r="L2116" s="14">
        <v>92</v>
      </c>
      <c r="M2116" s="14">
        <v>317</v>
      </c>
      <c r="N2116" s="14">
        <v>0</v>
      </c>
      <c r="O2116" s="16"/>
      <c r="P2116" s="6">
        <v>42823.862696759257</v>
      </c>
      <c r="Q2116" s="12" t="s">
        <v>60</v>
      </c>
      <c r="R2116" s="17" t="s">
        <v>6866</v>
      </c>
      <c r="S2116" s="11"/>
      <c r="T2116" s="11"/>
      <c r="U2116" s="10" t="str">
        <f>HYPERLINK("https://pbs.twimg.com/profile_images/1070047624974254080/RzPQBZ-0.jpg","View")</f>
        <v>View</v>
      </c>
    </row>
    <row r="2117" spans="1:21" ht="51">
      <c r="A2117" s="6">
        <v>43438.82304398148</v>
      </c>
      <c r="B2117" s="7" t="str">
        <f>HYPERLINK("https://twitter.com/AmgelLlamas","@AmgelLlamas")</f>
        <v>@AmgelLlamas</v>
      </c>
      <c r="C2117" s="8" t="s">
        <v>5925</v>
      </c>
      <c r="D2117" s="9" t="s">
        <v>6867</v>
      </c>
      <c r="E2117" s="10" t="str">
        <f>HYPERLINK("https://twitter.com/AmgelLlamas/status/1070026244895490048","1070026244895490048")</f>
        <v>1070026244895490048</v>
      </c>
      <c r="F2117" s="11"/>
      <c r="G2117" s="13" t="s">
        <v>6868</v>
      </c>
      <c r="H2117" s="11"/>
      <c r="I2117" s="14">
        <v>0</v>
      </c>
      <c r="J2117" s="14">
        <v>0</v>
      </c>
      <c r="K2117" s="15" t="str">
        <f>HYPERLINK("http://twitter.com","Twitter Web Client")</f>
        <v>Twitter Web Client</v>
      </c>
      <c r="L2117" s="14">
        <v>82</v>
      </c>
      <c r="M2117" s="14">
        <v>623</v>
      </c>
      <c r="N2117" s="14">
        <v>0</v>
      </c>
      <c r="O2117" s="16"/>
      <c r="P2117" s="6">
        <v>43352.556354166663</v>
      </c>
      <c r="Q2117" s="12" t="s">
        <v>5929</v>
      </c>
      <c r="R2117" s="17" t="s">
        <v>5930</v>
      </c>
      <c r="S2117" s="11"/>
      <c r="T2117" s="11"/>
      <c r="U2117" s="10" t="str">
        <f>HYPERLINK("https://pbs.twimg.com/profile_images/1038758318095917056/VU2D6qHS.jpg","View")</f>
        <v>View</v>
      </c>
    </row>
    <row r="2118" spans="1:21" ht="61.2">
      <c r="A2118" s="6">
        <v>43438.821863425925</v>
      </c>
      <c r="B2118" s="7" t="str">
        <f>HYPERLINK("https://twitter.com/DoradoAlex","@DoradoAlex")</f>
        <v>@DoradoAlex</v>
      </c>
      <c r="C2118" s="8" t="s">
        <v>6872</v>
      </c>
      <c r="D2118" s="9" t="s">
        <v>6873</v>
      </c>
      <c r="E2118" s="10" t="str">
        <f>HYPERLINK("https://twitter.com/DoradoAlex/status/1070025815566544898","1070025815566544898")</f>
        <v>1070025815566544898</v>
      </c>
      <c r="F2118" s="12" t="s">
        <v>6316</v>
      </c>
      <c r="G2118" s="11"/>
      <c r="H2118" s="11"/>
      <c r="I2118" s="14">
        <v>3</v>
      </c>
      <c r="J2118" s="14">
        <v>5</v>
      </c>
      <c r="K2118" s="15" t="str">
        <f>HYPERLINK("http://twitter.com/download/android","Twitter for Android")</f>
        <v>Twitter for Android</v>
      </c>
      <c r="L2118" s="14">
        <v>3073</v>
      </c>
      <c r="M2118" s="14">
        <v>3967</v>
      </c>
      <c r="N2118" s="14">
        <v>25</v>
      </c>
      <c r="O2118" s="16"/>
      <c r="P2118" s="6">
        <v>40720.975162037037</v>
      </c>
      <c r="Q2118" s="12" t="s">
        <v>508</v>
      </c>
      <c r="R2118" s="17" t="s">
        <v>6874</v>
      </c>
      <c r="S2118" s="11"/>
      <c r="T2118" s="11"/>
      <c r="U2118" s="10" t="str">
        <f>HYPERLINK("https://pbs.twimg.com/profile_images/996511805735305217/teXerfAq.jpg","View")</f>
        <v>View</v>
      </c>
    </row>
    <row r="2119" spans="1:21" ht="51">
      <c r="A2119" s="6">
        <v>43438.819606481484</v>
      </c>
      <c r="B2119" s="7" t="str">
        <f>HYPERLINK("https://twitter.com/mariano9605","@mariano9605")</f>
        <v>@mariano9605</v>
      </c>
      <c r="C2119" s="8" t="s">
        <v>1381</v>
      </c>
      <c r="D2119" s="9" t="s">
        <v>8243</v>
      </c>
      <c r="E2119" s="10" t="str">
        <f>HYPERLINK("https://twitter.com/mariano9605/status/1070025000273526789","1070025000273526789")</f>
        <v>1070025000273526789</v>
      </c>
      <c r="F2119" s="13" t="s">
        <v>8244</v>
      </c>
      <c r="G2119" s="11"/>
      <c r="H2119" s="11"/>
      <c r="I2119" s="14">
        <v>48</v>
      </c>
      <c r="J2119" s="14">
        <v>22</v>
      </c>
      <c r="K2119" s="15" t="str">
        <f>HYPERLINK("http://twitter.com","Twitter Web Client")</f>
        <v>Twitter Web Client</v>
      </c>
      <c r="L2119" s="14">
        <v>56286</v>
      </c>
      <c r="M2119" s="14">
        <v>54122</v>
      </c>
      <c r="N2119" s="14">
        <v>303</v>
      </c>
      <c r="O2119" s="16"/>
      <c r="P2119" s="6">
        <v>40869.915659722225</v>
      </c>
      <c r="Q2119" s="12" t="s">
        <v>1383</v>
      </c>
      <c r="R2119" s="17" t="s">
        <v>1384</v>
      </c>
      <c r="S2119" s="11"/>
      <c r="T2119" s="11"/>
      <c r="U2119" s="10" t="str">
        <f>HYPERLINK("https://pbs.twimg.com/profile_images/427860629525757952/ohW7e5Pf.jpeg","View")</f>
        <v>View</v>
      </c>
    </row>
    <row r="2120" spans="1:21" ht="51">
      <c r="A2120" s="6">
        <v>43438.819004629629</v>
      </c>
      <c r="B2120" s="7" t="str">
        <f>HYPERLINK("https://twitter.com/Oscarteach","@Oscarteach")</f>
        <v>@Oscarteach</v>
      </c>
      <c r="C2120" s="8" t="s">
        <v>8245</v>
      </c>
      <c r="D2120" s="9" t="s">
        <v>8246</v>
      </c>
      <c r="E2120" s="10" t="str">
        <f>HYPERLINK("https://twitter.com/Oscarteach/status/1070024781544730630","1070024781544730630")</f>
        <v>1070024781544730630</v>
      </c>
      <c r="F2120" s="11"/>
      <c r="G2120" s="11"/>
      <c r="H2120" s="11"/>
      <c r="I2120" s="14">
        <v>0</v>
      </c>
      <c r="J2120" s="14">
        <v>0</v>
      </c>
      <c r="K2120" s="15" t="str">
        <f>HYPERLINK("http://twitter.com/download/android","Twitter for Android")</f>
        <v>Twitter for Android</v>
      </c>
      <c r="L2120" s="14">
        <v>501</v>
      </c>
      <c r="M2120" s="14">
        <v>286</v>
      </c>
      <c r="N2120" s="14">
        <v>10</v>
      </c>
      <c r="O2120" s="16"/>
      <c r="P2120" s="6">
        <v>40746.066701388889</v>
      </c>
      <c r="Q2120" s="11"/>
      <c r="R2120" s="17" t="s">
        <v>8247</v>
      </c>
      <c r="S2120" s="13" t="s">
        <v>8248</v>
      </c>
      <c r="T2120" s="11"/>
      <c r="U2120" s="10" t="str">
        <f>HYPERLINK("https://pbs.twimg.com/profile_images/772447615325708288/mOPVm5tJ.jpg","View")</f>
        <v>View</v>
      </c>
    </row>
    <row r="2121" spans="1:21" ht="40.799999999999997">
      <c r="A2121" s="6">
        <v>43438.817615740743</v>
      </c>
      <c r="B2121" s="7" t="str">
        <f>HYPERLINK("https://twitter.com/Ramonesmiranda","@Ramonesmiranda")</f>
        <v>@Ramonesmiranda</v>
      </c>
      <c r="C2121" s="8" t="s">
        <v>6435</v>
      </c>
      <c r="D2121" s="9" t="s">
        <v>8249</v>
      </c>
      <c r="E2121" s="10" t="str">
        <f>HYPERLINK("https://twitter.com/Ramonesmiranda/status/1070024278962331648","1070024278962331648")</f>
        <v>1070024278962331648</v>
      </c>
      <c r="F2121" s="13" t="s">
        <v>8250</v>
      </c>
      <c r="G2121" s="11"/>
      <c r="H2121" s="11"/>
      <c r="I2121" s="14">
        <v>1</v>
      </c>
      <c r="J2121" s="14">
        <v>1</v>
      </c>
      <c r="K2121" s="15" t="str">
        <f t="shared" ref="K2121:K2122" si="413">HYPERLINK("http://twitter.com/download/iphone","Twitter for iPhone")</f>
        <v>Twitter for iPhone</v>
      </c>
      <c r="L2121" s="14">
        <v>2054</v>
      </c>
      <c r="M2121" s="14">
        <v>2030</v>
      </c>
      <c r="N2121" s="14">
        <v>60</v>
      </c>
      <c r="O2121" s="16"/>
      <c r="P2121" s="6">
        <v>40640.576296296298</v>
      </c>
      <c r="Q2121" s="12" t="s">
        <v>6438</v>
      </c>
      <c r="R2121" s="17" t="s">
        <v>6439</v>
      </c>
      <c r="S2121" s="13" t="s">
        <v>6440</v>
      </c>
      <c r="T2121" s="11"/>
      <c r="U2121" s="10" t="str">
        <f>HYPERLINK("https://pbs.twimg.com/profile_images/919526919179329536/y02LMBEI.jpg","View")</f>
        <v>View</v>
      </c>
    </row>
    <row r="2122" spans="1:21" ht="81.599999999999994">
      <c r="A2122" s="6">
        <v>43438.816377314812</v>
      </c>
      <c r="B2122" s="7" t="str">
        <f>HYPERLINK("https://twitter.com/oilcata","@oilcata")</f>
        <v>@oilcata</v>
      </c>
      <c r="C2122" s="8" t="s">
        <v>8251</v>
      </c>
      <c r="D2122" s="9" t="s">
        <v>8252</v>
      </c>
      <c r="E2122" s="10" t="str">
        <f>HYPERLINK("https://twitter.com/oilcata/status/1070023828938612736","1070023828938612736")</f>
        <v>1070023828938612736</v>
      </c>
      <c r="F2122" s="13" t="s">
        <v>8253</v>
      </c>
      <c r="G2122" s="11"/>
      <c r="H2122" s="11"/>
      <c r="I2122" s="14">
        <v>0</v>
      </c>
      <c r="J2122" s="14">
        <v>1</v>
      </c>
      <c r="K2122" s="15" t="str">
        <f t="shared" si="413"/>
        <v>Twitter for iPhone</v>
      </c>
      <c r="L2122" s="14">
        <v>2182</v>
      </c>
      <c r="M2122" s="14">
        <v>562</v>
      </c>
      <c r="N2122" s="14">
        <v>12</v>
      </c>
      <c r="O2122" s="16"/>
      <c r="P2122" s="6">
        <v>42634.867939814816</v>
      </c>
      <c r="Q2122" s="12" t="s">
        <v>1870</v>
      </c>
      <c r="R2122" s="17" t="s">
        <v>8254</v>
      </c>
      <c r="S2122" s="11"/>
      <c r="T2122" s="11"/>
      <c r="U2122" s="10" t="str">
        <f>HYPERLINK("https://pbs.twimg.com/profile_images/1068904724655689729/1MQucVpz.jpg","View")</f>
        <v>View</v>
      </c>
    </row>
    <row r="2123" spans="1:21" ht="40.799999999999997">
      <c r="A2123" s="6">
        <v>43438.813912037032</v>
      </c>
      <c r="B2123" s="7" t="str">
        <f>HYPERLINK("https://twitter.com/Jorcaina01Jose","@Jorcaina01Jose")</f>
        <v>@Jorcaina01Jose</v>
      </c>
      <c r="C2123" s="8" t="s">
        <v>6877</v>
      </c>
      <c r="D2123" s="9" t="s">
        <v>6878</v>
      </c>
      <c r="E2123" s="10" t="str">
        <f>HYPERLINK("https://twitter.com/Jorcaina01Jose/status/1070022933559607301","1070022933559607301")</f>
        <v>1070022933559607301</v>
      </c>
      <c r="F2123" s="11"/>
      <c r="G2123" s="11"/>
      <c r="H2123" s="11"/>
      <c r="I2123" s="14">
        <v>0</v>
      </c>
      <c r="J2123" s="14">
        <v>0</v>
      </c>
      <c r="K2123" s="15" t="str">
        <f>HYPERLINK("http://twitter.com/download/android","Twitter for Android")</f>
        <v>Twitter for Android</v>
      </c>
      <c r="L2123" s="14">
        <v>34</v>
      </c>
      <c r="M2123" s="14">
        <v>258</v>
      </c>
      <c r="N2123" s="14">
        <v>0</v>
      </c>
      <c r="O2123" s="16"/>
      <c r="P2123" s="6">
        <v>41044.998726851853</v>
      </c>
      <c r="Q2123" s="12" t="s">
        <v>6881</v>
      </c>
      <c r="R2123" s="17" t="s">
        <v>6882</v>
      </c>
      <c r="S2123" s="11"/>
      <c r="T2123" s="11"/>
      <c r="U2123" s="10" t="str">
        <f>HYPERLINK("https://pbs.twimg.com/profile_images/873419941818621952/dFCZ_5XL.jpg","View")</f>
        <v>View</v>
      </c>
    </row>
    <row r="2124" spans="1:21" ht="51">
      <c r="A2124" s="6">
        <v>43438.813263888893</v>
      </c>
      <c r="B2124" s="7" t="str">
        <f>HYPERLINK("https://twitter.com/SergiPuyol","@SergiPuyol")</f>
        <v>@SergiPuyol</v>
      </c>
      <c r="C2124" s="8" t="s">
        <v>6883</v>
      </c>
      <c r="D2124" s="9" t="s">
        <v>6884</v>
      </c>
      <c r="E2124" s="10" t="str">
        <f>HYPERLINK("https://twitter.com/SergiPuyol/status/1070022698481401856","1070022698481401856")</f>
        <v>1070022698481401856</v>
      </c>
      <c r="F2124" s="11"/>
      <c r="G2124" s="11"/>
      <c r="H2124" s="11"/>
      <c r="I2124" s="14">
        <v>0</v>
      </c>
      <c r="J2124" s="14">
        <v>0</v>
      </c>
      <c r="K2124" s="15" t="str">
        <f>HYPERLINK("https://mobile.twitter.com","Twitter Lite")</f>
        <v>Twitter Lite</v>
      </c>
      <c r="L2124" s="14">
        <v>34</v>
      </c>
      <c r="M2124" s="14">
        <v>232</v>
      </c>
      <c r="N2124" s="14">
        <v>0</v>
      </c>
      <c r="O2124" s="16"/>
      <c r="P2124" s="6">
        <v>43382.826319444444</v>
      </c>
      <c r="Q2124" s="12" t="s">
        <v>1785</v>
      </c>
      <c r="R2124" s="17" t="s">
        <v>6883</v>
      </c>
      <c r="S2124" s="11"/>
      <c r="T2124" s="11"/>
      <c r="U2124" s="10" t="str">
        <f>HYPERLINK("https://pbs.twimg.com/profile_images/1066279947180879872/H1bj9slu.jpg","View")</f>
        <v>View</v>
      </c>
    </row>
    <row r="2125" spans="1:21" ht="51">
      <c r="A2125" s="6">
        <v>43438.810486111106</v>
      </c>
      <c r="B2125" s="7" t="str">
        <f>HYPERLINK("https://twitter.com/maequez67","@maequez67")</f>
        <v>@maequez67</v>
      </c>
      <c r="C2125" s="8" t="s">
        <v>8255</v>
      </c>
      <c r="D2125" s="9" t="s">
        <v>8256</v>
      </c>
      <c r="E2125" s="10" t="str">
        <f>HYPERLINK("https://twitter.com/maequez67/status/1070021692326584320","1070021692326584320")</f>
        <v>1070021692326584320</v>
      </c>
      <c r="F2125" s="11"/>
      <c r="G2125" s="13" t="s">
        <v>8257</v>
      </c>
      <c r="H2125" s="11"/>
      <c r="I2125" s="14">
        <v>0</v>
      </c>
      <c r="J2125" s="14">
        <v>0</v>
      </c>
      <c r="K2125" s="15" t="str">
        <f>HYPERLINK("http://twitter.com/download/android","Twitter for Android")</f>
        <v>Twitter for Android</v>
      </c>
      <c r="L2125" s="14">
        <v>832</v>
      </c>
      <c r="M2125" s="14">
        <v>1544</v>
      </c>
      <c r="N2125" s="14">
        <v>21</v>
      </c>
      <c r="O2125" s="16"/>
      <c r="P2125" s="6">
        <v>42159.404027777782</v>
      </c>
      <c r="Q2125" s="12" t="s">
        <v>508</v>
      </c>
      <c r="R2125" s="17" t="s">
        <v>8258</v>
      </c>
      <c r="S2125" s="11"/>
      <c r="T2125" s="11"/>
      <c r="U2125" s="10" t="str">
        <f>HYPERLINK("https://pbs.twimg.com/profile_images/1070967120832446464/Aw0szm5h.jpg","View")</f>
        <v>View</v>
      </c>
    </row>
    <row r="2126" spans="1:21" ht="20.399999999999999">
      <c r="A2126" s="6">
        <v>43438.809016203704</v>
      </c>
      <c r="B2126" s="7" t="str">
        <f>HYPERLINK("https://twitter.com/Libertad113","@Libertad113")</f>
        <v>@Libertad113</v>
      </c>
      <c r="C2126" s="8" t="s">
        <v>8259</v>
      </c>
      <c r="D2126" s="9" t="s">
        <v>8260</v>
      </c>
      <c r="E2126" s="10" t="str">
        <f>HYPERLINK("https://twitter.com/Libertad113/status/1070021161730408454","1070021161730408454")</f>
        <v>1070021161730408454</v>
      </c>
      <c r="F2126" s="11"/>
      <c r="G2126" s="13" t="s">
        <v>8261</v>
      </c>
      <c r="H2126" s="11"/>
      <c r="I2126" s="14">
        <v>0</v>
      </c>
      <c r="J2126" s="14">
        <v>0</v>
      </c>
      <c r="K2126" s="15" t="str">
        <f>HYPERLINK("https://mobile.twitter.com","Twitter Lite")</f>
        <v>Twitter Lite</v>
      </c>
      <c r="L2126" s="14">
        <v>878</v>
      </c>
      <c r="M2126" s="14">
        <v>825</v>
      </c>
      <c r="N2126" s="14">
        <v>3</v>
      </c>
      <c r="O2126" s="16"/>
      <c r="P2126" s="6">
        <v>42291.450509259259</v>
      </c>
      <c r="Q2126" s="12" t="s">
        <v>3303</v>
      </c>
      <c r="R2126" s="17" t="s">
        <v>8262</v>
      </c>
      <c r="S2126" s="11"/>
      <c r="T2126" s="11"/>
      <c r="U2126" s="10" t="str">
        <f>HYPERLINK("https://pbs.twimg.com/profile_images/696290748258512896/r0HsIfqo.jpg","View")</f>
        <v>View</v>
      </c>
    </row>
    <row r="2127" spans="1:21" ht="51">
      <c r="A2127" s="6">
        <v>43438.806087962963</v>
      </c>
      <c r="B2127" s="7" t="str">
        <f>HYPERLINK("https://twitter.com/SergioLopezVF","@SergioLopezVF")</f>
        <v>@SergioLopezVF</v>
      </c>
      <c r="C2127" s="8" t="s">
        <v>8263</v>
      </c>
      <c r="D2127" s="9" t="s">
        <v>8264</v>
      </c>
      <c r="E2127" s="10" t="str">
        <f>HYPERLINK("https://twitter.com/SergioLopezVF/status/1070020100865081345","1070020100865081345")</f>
        <v>1070020100865081345</v>
      </c>
      <c r="F2127" s="11"/>
      <c r="G2127" s="11"/>
      <c r="H2127" s="11"/>
      <c r="I2127" s="14">
        <v>1</v>
      </c>
      <c r="J2127" s="14">
        <v>3</v>
      </c>
      <c r="K2127" s="15" t="str">
        <f t="shared" ref="K2127:K2128" si="414">HYPERLINK("http://twitter.com/download/iphone","Twitter for iPhone")</f>
        <v>Twitter for iPhone</v>
      </c>
      <c r="L2127" s="14">
        <v>2272</v>
      </c>
      <c r="M2127" s="14">
        <v>1261</v>
      </c>
      <c r="N2127" s="14">
        <v>38</v>
      </c>
      <c r="O2127" s="16"/>
      <c r="P2127" s="6">
        <v>40386.815868055557</v>
      </c>
      <c r="Q2127" s="12" t="s">
        <v>8265</v>
      </c>
      <c r="R2127" s="17" t="s">
        <v>8266</v>
      </c>
      <c r="S2127" s="13" t="s">
        <v>8267</v>
      </c>
      <c r="T2127" s="11"/>
      <c r="U2127" s="10" t="str">
        <f>HYPERLINK("https://pbs.twimg.com/profile_images/1015134315582312448/agq4Y_L5.jpg","View")</f>
        <v>View</v>
      </c>
    </row>
    <row r="2128" spans="1:21" ht="40.799999999999997">
      <c r="A2128" s="6">
        <v>43438.802615740744</v>
      </c>
      <c r="B2128" s="7" t="str">
        <f>HYPERLINK("https://twitter.com/cuet79","@cuet79")</f>
        <v>@cuet79</v>
      </c>
      <c r="C2128" s="8" t="s">
        <v>6885</v>
      </c>
      <c r="D2128" s="9" t="s">
        <v>6886</v>
      </c>
      <c r="E2128" s="10" t="str">
        <f>HYPERLINK("https://twitter.com/cuet79/status/1070018842154422273","1070018842154422273")</f>
        <v>1070018842154422273</v>
      </c>
      <c r="F2128" s="13" t="s">
        <v>6888</v>
      </c>
      <c r="G2128" s="11"/>
      <c r="H2128" s="11"/>
      <c r="I2128" s="14">
        <v>0</v>
      </c>
      <c r="J2128" s="14">
        <v>0</v>
      </c>
      <c r="K2128" s="15" t="str">
        <f t="shared" si="414"/>
        <v>Twitter for iPhone</v>
      </c>
      <c r="L2128" s="14">
        <v>300</v>
      </c>
      <c r="M2128" s="14">
        <v>747</v>
      </c>
      <c r="N2128" s="14">
        <v>2</v>
      </c>
      <c r="O2128" s="16"/>
      <c r="P2128" s="6">
        <v>40582.941319444442</v>
      </c>
      <c r="Q2128" s="12" t="s">
        <v>477</v>
      </c>
      <c r="R2128" s="17" t="s">
        <v>477</v>
      </c>
      <c r="S2128" s="11"/>
      <c r="T2128" s="11"/>
      <c r="U2128" s="10" t="str">
        <f>HYPERLINK("https://pbs.twimg.com/profile_images/1058814733304950785/ZM-Twfw0.jpg","View")</f>
        <v>View</v>
      </c>
    </row>
    <row r="2129" spans="1:21" ht="20.399999999999999">
      <c r="A2129" s="6">
        <v>43438.800462962958</v>
      </c>
      <c r="B2129" s="7" t="str">
        <f>HYPERLINK("https://twitter.com/chemathegamer","@chemathegamer")</f>
        <v>@chemathegamer</v>
      </c>
      <c r="C2129" s="8" t="s">
        <v>8268</v>
      </c>
      <c r="D2129" s="9" t="s">
        <v>8269</v>
      </c>
      <c r="E2129" s="10" t="str">
        <f>HYPERLINK("https://twitter.com/chemathegamer/status/1070018061187670019","1070018061187670019")</f>
        <v>1070018061187670019</v>
      </c>
      <c r="F2129" s="13" t="s">
        <v>8270</v>
      </c>
      <c r="G2129" s="11"/>
      <c r="H2129" s="11"/>
      <c r="I2129" s="14">
        <v>0</v>
      </c>
      <c r="J2129" s="14">
        <v>0</v>
      </c>
      <c r="K2129" s="15" t="str">
        <f>HYPERLINK("https://www.google.com/","Google")</f>
        <v>Google</v>
      </c>
      <c r="L2129" s="14">
        <v>12</v>
      </c>
      <c r="M2129" s="14">
        <v>72</v>
      </c>
      <c r="N2129" s="14">
        <v>1</v>
      </c>
      <c r="O2129" s="16"/>
      <c r="P2129" s="6">
        <v>41689.907187500001</v>
      </c>
      <c r="Q2129" s="11"/>
      <c r="R2129" s="18"/>
      <c r="S2129" s="11"/>
      <c r="T2129" s="11"/>
      <c r="U2129" s="10" t="str">
        <f>HYPERLINK("https://pbs.twimg.com/profile_images/436243548115976192/NSYHTN5J.jpeg","View")</f>
        <v>View</v>
      </c>
    </row>
    <row r="2130" spans="1:21" ht="40.799999999999997">
      <c r="A2130" s="6">
        <v>43438.799097222218</v>
      </c>
      <c r="B2130" s="7" t="str">
        <f>HYPERLINK("https://twitter.com/La_Cerca","@La_Cerca")</f>
        <v>@La_Cerca</v>
      </c>
      <c r="C2130" s="8" t="s">
        <v>2743</v>
      </c>
      <c r="D2130" s="9" t="s">
        <v>6891</v>
      </c>
      <c r="E2130" s="10" t="str">
        <f>HYPERLINK("https://twitter.com/La_Cerca/status/1070017568436572160","1070017568436572160")</f>
        <v>1070017568436572160</v>
      </c>
      <c r="F2130" s="13" t="s">
        <v>6893</v>
      </c>
      <c r="G2130" s="11"/>
      <c r="H2130" s="11"/>
      <c r="I2130" s="14">
        <v>1</v>
      </c>
      <c r="J2130" s="14">
        <v>0</v>
      </c>
      <c r="K2130" s="15" t="str">
        <f>HYPERLINK("http://www.lacerca.com","La Cerca")</f>
        <v>La Cerca</v>
      </c>
      <c r="L2130" s="14">
        <v>18980</v>
      </c>
      <c r="M2130" s="14">
        <v>4970</v>
      </c>
      <c r="N2130" s="14">
        <v>337</v>
      </c>
      <c r="O2130" s="19" t="s">
        <v>42</v>
      </c>
      <c r="P2130" s="6">
        <v>40007.429652777777</v>
      </c>
      <c r="Q2130" s="12" t="s">
        <v>2255</v>
      </c>
      <c r="R2130" s="17" t="s">
        <v>2746</v>
      </c>
      <c r="S2130" s="13" t="s">
        <v>2747</v>
      </c>
      <c r="T2130" s="11"/>
      <c r="U2130" s="10" t="str">
        <f>HYPERLINK("https://pbs.twimg.com/profile_images/1046758213843111937/MFsiNfy0.jpg","View")</f>
        <v>View</v>
      </c>
    </row>
    <row r="2131" spans="1:21" ht="61.2">
      <c r="A2131" s="6">
        <v>43438.798993055556</v>
      </c>
      <c r="B2131" s="7" t="str">
        <f>HYPERLINK("https://twitter.com/SergiPuyol","@SergiPuyol")</f>
        <v>@SergiPuyol</v>
      </c>
      <c r="C2131" s="8" t="s">
        <v>6883</v>
      </c>
      <c r="D2131" s="9" t="s">
        <v>6895</v>
      </c>
      <c r="E2131" s="10" t="str">
        <f>HYPERLINK("https://twitter.com/SergiPuyol/status/1070017528943001601","1070017528943001601")</f>
        <v>1070017528943001601</v>
      </c>
      <c r="F2131" s="11"/>
      <c r="G2131" s="11"/>
      <c r="H2131" s="11"/>
      <c r="I2131" s="14">
        <v>0</v>
      </c>
      <c r="J2131" s="14">
        <v>0</v>
      </c>
      <c r="K2131" s="15" t="str">
        <f>HYPERLINK("https://mobile.twitter.com","Twitter Lite")</f>
        <v>Twitter Lite</v>
      </c>
      <c r="L2131" s="14">
        <v>34</v>
      </c>
      <c r="M2131" s="14">
        <v>232</v>
      </c>
      <c r="N2131" s="14">
        <v>0</v>
      </c>
      <c r="O2131" s="16"/>
      <c r="P2131" s="6">
        <v>43382.826319444444</v>
      </c>
      <c r="Q2131" s="12" t="s">
        <v>1785</v>
      </c>
      <c r="R2131" s="17" t="s">
        <v>6883</v>
      </c>
      <c r="S2131" s="11"/>
      <c r="T2131" s="11"/>
      <c r="U2131" s="10" t="str">
        <f>HYPERLINK("https://pbs.twimg.com/profile_images/1066279947180879872/H1bj9slu.jpg","View")</f>
        <v>View</v>
      </c>
    </row>
    <row r="2132" spans="1:21" ht="51">
      <c r="A2132" s="6">
        <v>43438.797789351855</v>
      </c>
      <c r="B2132" s="7" t="str">
        <f>HYPERLINK("https://twitter.com/Albert_Rivera","@Albert_Rivera")</f>
        <v>@Albert_Rivera</v>
      </c>
      <c r="C2132" s="8" t="s">
        <v>443</v>
      </c>
      <c r="D2132" s="9" t="s">
        <v>8271</v>
      </c>
      <c r="E2132" s="10" t="str">
        <f>HYPERLINK("https://twitter.com/Albert_Rivera/status/1070017090747334656","1070017090747334656")</f>
        <v>1070017090747334656</v>
      </c>
      <c r="F2132" s="11"/>
      <c r="G2132" s="13" t="s">
        <v>8272</v>
      </c>
      <c r="H2132" s="11"/>
      <c r="I2132" s="14">
        <v>275</v>
      </c>
      <c r="J2132" s="14">
        <v>556</v>
      </c>
      <c r="K2132" s="15" t="str">
        <f>HYPERLINK("http://twitter.com/download/iphone","Twitter for iPhone")</f>
        <v>Twitter for iPhone</v>
      </c>
      <c r="L2132" s="14">
        <v>1075808</v>
      </c>
      <c r="M2132" s="14">
        <v>2547</v>
      </c>
      <c r="N2132" s="14">
        <v>5114</v>
      </c>
      <c r="O2132" s="19" t="s">
        <v>42</v>
      </c>
      <c r="P2132" s="6">
        <v>40205.748171296298</v>
      </c>
      <c r="Q2132" s="12" t="s">
        <v>137</v>
      </c>
      <c r="R2132" s="17" t="s">
        <v>450</v>
      </c>
      <c r="S2132" s="13" t="s">
        <v>452</v>
      </c>
      <c r="T2132" s="11"/>
      <c r="U2132" s="10" t="str">
        <f>HYPERLINK("https://pbs.twimg.com/profile_images/1030708936779988993/RncDM4EZ.jpg","View")</f>
        <v>View</v>
      </c>
    </row>
    <row r="2133" spans="1:21" ht="40.799999999999997">
      <c r="A2133" s="6">
        <v>43438.792557870373</v>
      </c>
      <c r="B2133" s="7" t="str">
        <f>HYPERLINK("https://twitter.com/maria_mariht","@maria_mariht")</f>
        <v>@maria_mariht</v>
      </c>
      <c r="C2133" s="8" t="s">
        <v>8273</v>
      </c>
      <c r="D2133" s="9" t="s">
        <v>8274</v>
      </c>
      <c r="E2133" s="10" t="str">
        <f>HYPERLINK("https://twitter.com/maria_mariht/status/1070015195349700608","1070015195349700608")</f>
        <v>1070015195349700608</v>
      </c>
      <c r="F2133" s="13" t="s">
        <v>8275</v>
      </c>
      <c r="G2133" s="11"/>
      <c r="H2133" s="11"/>
      <c r="I2133" s="14">
        <v>1</v>
      </c>
      <c r="J2133" s="14">
        <v>0</v>
      </c>
      <c r="K2133" s="15" t="str">
        <f t="shared" ref="K2133:K2135" si="415">HYPERLINK("http://twitter.com/download/android","Twitter for Android")</f>
        <v>Twitter for Android</v>
      </c>
      <c r="L2133" s="14">
        <v>3970</v>
      </c>
      <c r="M2133" s="14">
        <v>3965</v>
      </c>
      <c r="N2133" s="14">
        <v>39</v>
      </c>
      <c r="O2133" s="16"/>
      <c r="P2133" s="6">
        <v>41635.011655092589</v>
      </c>
      <c r="Q2133" s="11"/>
      <c r="R2133" s="17" t="s">
        <v>8276</v>
      </c>
      <c r="S2133" s="11"/>
      <c r="T2133" s="11"/>
      <c r="U2133" s="10" t="str">
        <f>HYPERLINK("https://pbs.twimg.com/profile_images/1071101371343097857/v2x87iQ-.jpg","View")</f>
        <v>View</v>
      </c>
    </row>
    <row r="2134" spans="1:21" ht="40.799999999999997">
      <c r="A2134" s="6">
        <v>43438.792141203703</v>
      </c>
      <c r="B2134" s="7" t="str">
        <f>HYPERLINK("https://twitter.com/ElOtroPuchi","@ElOtroPuchi")</f>
        <v>@ElOtroPuchi</v>
      </c>
      <c r="C2134" s="8" t="s">
        <v>6900</v>
      </c>
      <c r="D2134" s="9" t="s">
        <v>6901</v>
      </c>
      <c r="E2134" s="10" t="str">
        <f>HYPERLINK("https://twitter.com/ElOtroPuchi/status/1070015046162530304","1070015046162530304")</f>
        <v>1070015046162530304</v>
      </c>
      <c r="F2134" s="11"/>
      <c r="G2134" s="13" t="s">
        <v>6902</v>
      </c>
      <c r="H2134" s="11"/>
      <c r="I2134" s="14">
        <v>2</v>
      </c>
      <c r="J2134" s="14">
        <v>1</v>
      </c>
      <c r="K2134" s="15" t="str">
        <f t="shared" si="415"/>
        <v>Twitter for Android</v>
      </c>
      <c r="L2134" s="14">
        <v>318</v>
      </c>
      <c r="M2134" s="14">
        <v>584</v>
      </c>
      <c r="N2134" s="14">
        <v>7</v>
      </c>
      <c r="O2134" s="16"/>
      <c r="P2134" s="6">
        <v>42064.733969907407</v>
      </c>
      <c r="Q2134" s="12" t="s">
        <v>6906</v>
      </c>
      <c r="R2134" s="17" t="s">
        <v>6907</v>
      </c>
      <c r="S2134" s="11"/>
      <c r="T2134" s="11"/>
      <c r="U2134" s="10" t="str">
        <f>HYPERLINK("https://pbs.twimg.com/profile_images/1071030110906667008/nU67QUPs.jpg","View")</f>
        <v>View</v>
      </c>
    </row>
    <row r="2135" spans="1:21" ht="71.400000000000006">
      <c r="A2135" s="6">
        <v>43438.791851851856</v>
      </c>
      <c r="B2135" s="7" t="str">
        <f>HYPERLINK("https://twitter.com/Elarkerorojo9","@Elarkerorojo9")</f>
        <v>@Elarkerorojo9</v>
      </c>
      <c r="C2135" s="8" t="s">
        <v>6911</v>
      </c>
      <c r="D2135" s="9" t="s">
        <v>6913</v>
      </c>
      <c r="E2135" s="10" t="str">
        <f>HYPERLINK("https://twitter.com/Elarkerorojo9/status/1070014939618783232","1070014939618783232")</f>
        <v>1070014939618783232</v>
      </c>
      <c r="F2135" s="12" t="s">
        <v>6915</v>
      </c>
      <c r="G2135" s="11"/>
      <c r="H2135" s="11"/>
      <c r="I2135" s="14">
        <v>1</v>
      </c>
      <c r="J2135" s="14">
        <v>0</v>
      </c>
      <c r="K2135" s="15" t="str">
        <f t="shared" si="415"/>
        <v>Twitter for Android</v>
      </c>
      <c r="L2135" s="14">
        <v>325</v>
      </c>
      <c r="M2135" s="14">
        <v>740</v>
      </c>
      <c r="N2135" s="14">
        <v>7</v>
      </c>
      <c r="O2135" s="16"/>
      <c r="P2135" s="6">
        <v>42031.749664351853</v>
      </c>
      <c r="Q2135" s="11"/>
      <c r="R2135" s="17" t="s">
        <v>6916</v>
      </c>
      <c r="S2135" s="11"/>
      <c r="T2135" s="11"/>
      <c r="U2135" s="10" t="str">
        <f>HYPERLINK("https://pbs.twimg.com/profile_images/1040239970504663040/5GA-98a8.jpg","View")</f>
        <v>View</v>
      </c>
    </row>
    <row r="2136" spans="1:21" ht="30.6">
      <c r="A2136" s="6">
        <v>43438.79005787037</v>
      </c>
      <c r="B2136" s="7" t="str">
        <f>HYPERLINK("https://twitter.com/Xanmerendolas","@Xanmerendolas")</f>
        <v>@Xanmerendolas</v>
      </c>
      <c r="C2136" s="8" t="s">
        <v>8277</v>
      </c>
      <c r="D2136" s="9" t="s">
        <v>8278</v>
      </c>
      <c r="E2136" s="10" t="str">
        <f>HYPERLINK("https://twitter.com/Xanmerendolas/status/1070014289547796481","1070014289547796481")</f>
        <v>1070014289547796481</v>
      </c>
      <c r="F2136" s="11"/>
      <c r="G2136" s="13" t="s">
        <v>8279</v>
      </c>
      <c r="H2136" s="11"/>
      <c r="I2136" s="14">
        <v>0</v>
      </c>
      <c r="J2136" s="14">
        <v>3</v>
      </c>
      <c r="K2136" s="15" t="str">
        <f>HYPERLINK("https://mobile.twitter.com","Twitter Lite")</f>
        <v>Twitter Lite</v>
      </c>
      <c r="L2136" s="14">
        <v>686</v>
      </c>
      <c r="M2136" s="14">
        <v>1405</v>
      </c>
      <c r="N2136" s="14">
        <v>3</v>
      </c>
      <c r="O2136" s="16"/>
      <c r="P2136" s="6">
        <v>40564.470034722224</v>
      </c>
      <c r="Q2136" s="11"/>
      <c r="R2136" s="17" t="s">
        <v>8280</v>
      </c>
      <c r="S2136" s="11"/>
      <c r="T2136" s="11"/>
      <c r="U2136" s="10" t="str">
        <f>HYPERLINK("https://pbs.twimg.com/profile_images/1022390388466888704/GLU5vsZa.jpg","View")</f>
        <v>View</v>
      </c>
    </row>
    <row r="2137" spans="1:21" ht="30.6">
      <c r="A2137" s="6">
        <v>43438.788680555561</v>
      </c>
      <c r="B2137" s="7" t="str">
        <f>HYPERLINK("https://twitter.com/ElAngelFacha","@ElAngelFacha")</f>
        <v>@ElAngelFacha</v>
      </c>
      <c r="C2137" s="8" t="s">
        <v>8281</v>
      </c>
      <c r="D2137" s="9" t="s">
        <v>8282</v>
      </c>
      <c r="E2137" s="10" t="str">
        <f>HYPERLINK("https://twitter.com/ElAngelFacha/status/1070013790123642881","1070013790123642881")</f>
        <v>1070013790123642881</v>
      </c>
      <c r="F2137" s="13" t="s">
        <v>8283</v>
      </c>
      <c r="G2137" s="11"/>
      <c r="H2137" s="11"/>
      <c r="I2137" s="14">
        <v>54</v>
      </c>
      <c r="J2137" s="14">
        <v>49</v>
      </c>
      <c r="K2137" s="15" t="str">
        <f>HYPERLINK("http://twitter.com","Twitter Web Client")</f>
        <v>Twitter Web Client</v>
      </c>
      <c r="L2137" s="14">
        <v>1472</v>
      </c>
      <c r="M2137" s="14">
        <v>2059</v>
      </c>
      <c r="N2137" s="14">
        <v>4</v>
      </c>
      <c r="O2137" s="16"/>
      <c r="P2137" s="6">
        <v>42923.928784722222</v>
      </c>
      <c r="Q2137" s="12" t="s">
        <v>8284</v>
      </c>
      <c r="R2137" s="17" t="s">
        <v>8285</v>
      </c>
      <c r="S2137" s="11"/>
      <c r="T2137" s="11"/>
      <c r="U2137" s="10" t="str">
        <f>HYPERLINK("https://pbs.twimg.com/profile_images/1068670609935208450/c84QvuV4.jpg","View")</f>
        <v>View</v>
      </c>
    </row>
    <row r="2138" spans="1:21" ht="20.399999999999999">
      <c r="A2138" s="6">
        <v>43438.787499999999</v>
      </c>
      <c r="B2138" s="7" t="str">
        <f>HYPERLINK("https://twitter.com/Paquito_84","@Paquito_84")</f>
        <v>@Paquito_84</v>
      </c>
      <c r="C2138" s="8" t="s">
        <v>6918</v>
      </c>
      <c r="D2138" s="9" t="s">
        <v>6919</v>
      </c>
      <c r="E2138" s="10" t="str">
        <f>HYPERLINK("https://twitter.com/Paquito_84/status/1070013362946199552","1070013362946199552")</f>
        <v>1070013362946199552</v>
      </c>
      <c r="F2138" s="11"/>
      <c r="G2138" s="11"/>
      <c r="H2138" s="11"/>
      <c r="I2138" s="14">
        <v>1</v>
      </c>
      <c r="J2138" s="14">
        <v>1</v>
      </c>
      <c r="K2138" s="15" t="str">
        <f t="shared" ref="K2138:K2140" si="416">HYPERLINK("http://twitter.com/download/android","Twitter for Android")</f>
        <v>Twitter for Android</v>
      </c>
      <c r="L2138" s="14">
        <v>278</v>
      </c>
      <c r="M2138" s="14">
        <v>650</v>
      </c>
      <c r="N2138" s="14">
        <v>4</v>
      </c>
      <c r="O2138" s="16"/>
      <c r="P2138" s="6">
        <v>42285.303993055553</v>
      </c>
      <c r="Q2138" s="12" t="s">
        <v>6920</v>
      </c>
      <c r="R2138" s="17" t="s">
        <v>6921</v>
      </c>
      <c r="S2138" s="11"/>
      <c r="T2138" s="11"/>
      <c r="U2138" s="10" t="str">
        <f>HYPERLINK("https://pbs.twimg.com/profile_images/1013798135695597569/8dUuja1c.jpg","View")</f>
        <v>View</v>
      </c>
    </row>
    <row r="2139" spans="1:21" ht="30.6">
      <c r="A2139" s="6">
        <v>43438.785891203705</v>
      </c>
      <c r="B2139" s="7" t="str">
        <f>HYPERLINK("https://twitter.com/Mariaa_rdgz","@Mariaa_rdgz")</f>
        <v>@Mariaa_rdgz</v>
      </c>
      <c r="C2139" s="8" t="s">
        <v>8286</v>
      </c>
      <c r="D2139" s="9" t="s">
        <v>8287</v>
      </c>
      <c r="E2139" s="10" t="str">
        <f>HYPERLINK("https://twitter.com/Mariaa_rdgz/status/1070012781196443648","1070012781196443648")</f>
        <v>1070012781196443648</v>
      </c>
      <c r="F2139" s="11"/>
      <c r="G2139" s="11"/>
      <c r="H2139" s="11"/>
      <c r="I2139" s="14">
        <v>0</v>
      </c>
      <c r="J2139" s="14">
        <v>0</v>
      </c>
      <c r="K2139" s="15" t="str">
        <f t="shared" si="416"/>
        <v>Twitter for Android</v>
      </c>
      <c r="L2139" s="14">
        <v>242</v>
      </c>
      <c r="M2139" s="14">
        <v>523</v>
      </c>
      <c r="N2139" s="14">
        <v>6</v>
      </c>
      <c r="O2139" s="16"/>
      <c r="P2139" s="6">
        <v>41808.870324074072</v>
      </c>
      <c r="Q2139" s="12" t="s">
        <v>60</v>
      </c>
      <c r="R2139" s="17" t="s">
        <v>8288</v>
      </c>
      <c r="S2139" s="11"/>
      <c r="T2139" s="11"/>
      <c r="U2139" s="10" t="str">
        <f>HYPERLINK("https://pbs.twimg.com/profile_images/1067838641379119105/p0aa9Olh.jpg","View")</f>
        <v>View</v>
      </c>
    </row>
    <row r="2140" spans="1:21" ht="20.399999999999999">
      <c r="A2140" s="6">
        <v>43438.784895833334</v>
      </c>
      <c r="B2140" s="7" t="str">
        <f>HYPERLINK("https://twitter.com/VidALieNs","@VidALieNs")</f>
        <v>@VidALieNs</v>
      </c>
      <c r="C2140" s="8" t="s">
        <v>1307</v>
      </c>
      <c r="D2140" s="9" t="s">
        <v>8289</v>
      </c>
      <c r="E2140" s="10" t="str">
        <f>HYPERLINK("https://twitter.com/VidALieNs/status/1070012421912387584","1070012421912387584")</f>
        <v>1070012421912387584</v>
      </c>
      <c r="F2140" s="11"/>
      <c r="G2140" s="11"/>
      <c r="H2140" s="11"/>
      <c r="I2140" s="14">
        <v>12</v>
      </c>
      <c r="J2140" s="14">
        <v>14</v>
      </c>
      <c r="K2140" s="15" t="str">
        <f t="shared" si="416"/>
        <v>Twitter for Android</v>
      </c>
      <c r="L2140" s="14">
        <v>11623</v>
      </c>
      <c r="M2140" s="14">
        <v>9295</v>
      </c>
      <c r="N2140" s="14">
        <v>36</v>
      </c>
      <c r="O2140" s="16"/>
      <c r="P2140" s="6">
        <v>40767.610150462962</v>
      </c>
      <c r="Q2140" s="12" t="s">
        <v>581</v>
      </c>
      <c r="R2140" s="17" t="s">
        <v>1309</v>
      </c>
      <c r="S2140" s="11"/>
      <c r="T2140" s="11"/>
      <c r="U2140" s="10" t="str">
        <f>HYPERLINK("https://pbs.twimg.com/profile_images/979309252329263105/5-ln10Cs.jpg","View")</f>
        <v>View</v>
      </c>
    </row>
    <row r="2141" spans="1:21" ht="71.400000000000006">
      <c r="A2141" s="6">
        <v>43438.784131944441</v>
      </c>
      <c r="B2141" s="7" t="str">
        <f>HYPERLINK("https://twitter.com/jaimeberenguer","@jaimeberenguer")</f>
        <v>@jaimeberenguer</v>
      </c>
      <c r="C2141" s="8" t="s">
        <v>68</v>
      </c>
      <c r="D2141" s="9" t="s">
        <v>8290</v>
      </c>
      <c r="E2141" s="10" t="str">
        <f>HYPERLINK("https://twitter.com/jaimeberenguer/status/1070012142789844992","1070012142789844992")</f>
        <v>1070012142789844992</v>
      </c>
      <c r="F2141" s="12" t="s">
        <v>6316</v>
      </c>
      <c r="G2141" s="11"/>
      <c r="H2141" s="11"/>
      <c r="I2141" s="14">
        <v>6</v>
      </c>
      <c r="J2141" s="14">
        <v>12</v>
      </c>
      <c r="K2141" s="15" t="str">
        <f>HYPERLINK("http://twitter.com/download/iphone","Twitter for iPhone")</f>
        <v>Twitter for iPhone</v>
      </c>
      <c r="L2141" s="14">
        <v>14564</v>
      </c>
      <c r="M2141" s="14">
        <v>2724</v>
      </c>
      <c r="N2141" s="14">
        <v>211</v>
      </c>
      <c r="O2141" s="16"/>
      <c r="P2141" s="6">
        <v>40040.424120370371</v>
      </c>
      <c r="Q2141" s="11"/>
      <c r="R2141" s="17" t="s">
        <v>73</v>
      </c>
      <c r="S2141" s="11"/>
      <c r="T2141" s="11"/>
      <c r="U2141" s="10" t="str">
        <f>HYPERLINK("https://pbs.twimg.com/profile_images/1048222448372604936/LV72DRWb.jpg","View")</f>
        <v>View</v>
      </c>
    </row>
    <row r="2142" spans="1:21" ht="40.799999999999997">
      <c r="A2142" s="6">
        <v>43438.781493055554</v>
      </c>
      <c r="B2142" s="7" t="str">
        <f>HYPERLINK("https://twitter.com/AlvEnDiferido","@AlvEnDiferido")</f>
        <v>@AlvEnDiferido</v>
      </c>
      <c r="C2142" s="8" t="s">
        <v>8292</v>
      </c>
      <c r="D2142" s="9" t="s">
        <v>8293</v>
      </c>
      <c r="E2142" s="10" t="str">
        <f>HYPERLINK("https://twitter.com/AlvEnDiferido/status/1070011187998404608","1070011187998404608")</f>
        <v>1070011187998404608</v>
      </c>
      <c r="F2142" s="11"/>
      <c r="G2142" s="11"/>
      <c r="H2142" s="11"/>
      <c r="I2142" s="14">
        <v>3</v>
      </c>
      <c r="J2142" s="14">
        <v>4</v>
      </c>
      <c r="K2142" s="15" t="str">
        <f>HYPERLINK("http://twitter.com/download/android","Twitter for Android")</f>
        <v>Twitter for Android</v>
      </c>
      <c r="L2142" s="14">
        <v>2163</v>
      </c>
      <c r="M2142" s="14">
        <v>669</v>
      </c>
      <c r="N2142" s="14">
        <v>21</v>
      </c>
      <c r="O2142" s="16"/>
      <c r="P2142" s="6">
        <v>40166.428437499999</v>
      </c>
      <c r="Q2142" s="12" t="s">
        <v>8294</v>
      </c>
      <c r="R2142" s="17" t="s">
        <v>8295</v>
      </c>
      <c r="S2142" s="11"/>
      <c r="T2142" s="11"/>
      <c r="U2142" s="10" t="str">
        <f>HYPERLINK("https://pbs.twimg.com/profile_images/998180910963965952/Q9XiokKg.jpg","View")</f>
        <v>View</v>
      </c>
    </row>
    <row r="2143" spans="1:21" ht="30.6">
      <c r="A2143" s="6">
        <v>43438.781030092592</v>
      </c>
      <c r="B2143" s="7" t="str">
        <f>HYPERLINK("https://twitter.com/castellanapura","@castellanapura")</f>
        <v>@castellanapura</v>
      </c>
      <c r="C2143" s="8" t="s">
        <v>8296</v>
      </c>
      <c r="D2143" s="9" t="s">
        <v>8297</v>
      </c>
      <c r="E2143" s="10" t="str">
        <f>HYPERLINK("https://twitter.com/castellanapura/status/1070011019756560389","1070011019756560389")</f>
        <v>1070011019756560389</v>
      </c>
      <c r="F2143" s="13" t="s">
        <v>8298</v>
      </c>
      <c r="G2143" s="11"/>
      <c r="H2143" s="11"/>
      <c r="I2143" s="14">
        <v>0</v>
      </c>
      <c r="J2143" s="14">
        <v>0</v>
      </c>
      <c r="K2143" s="15" t="str">
        <f>HYPERLINK("http://twitter.com","Twitter Web Client")</f>
        <v>Twitter Web Client</v>
      </c>
      <c r="L2143" s="14">
        <v>2285</v>
      </c>
      <c r="M2143" s="14">
        <v>3995</v>
      </c>
      <c r="N2143" s="14">
        <v>98</v>
      </c>
      <c r="O2143" s="16"/>
      <c r="P2143" s="6">
        <v>41264.520324074074</v>
      </c>
      <c r="Q2143" s="11"/>
      <c r="R2143" s="17" t="s">
        <v>8299</v>
      </c>
      <c r="S2143" s="11"/>
      <c r="T2143" s="11"/>
      <c r="U2143" s="10" t="str">
        <f>HYPERLINK("https://pbs.twimg.com/profile_images/999929581233754112/1NA6LUp0.jpg","View")</f>
        <v>View</v>
      </c>
    </row>
    <row r="2144" spans="1:21" ht="40.799999999999997">
      <c r="A2144" s="6">
        <v>43438.780104166668</v>
      </c>
      <c r="B2144" s="7" t="str">
        <f>HYPERLINK("https://twitter.com/PerifericaLabs","@PerifericaLabs")</f>
        <v>@PerifericaLabs</v>
      </c>
      <c r="C2144" s="8" t="s">
        <v>1714</v>
      </c>
      <c r="D2144" s="9" t="s">
        <v>8300</v>
      </c>
      <c r="E2144" s="10" t="str">
        <f>HYPERLINK("https://twitter.com/PerifericaLabs/status/1070010681875988481","1070010681875988481")</f>
        <v>1070010681875988481</v>
      </c>
      <c r="F2144" s="13" t="s">
        <v>8301</v>
      </c>
      <c r="G2144" s="11"/>
      <c r="H2144" s="11"/>
      <c r="I2144" s="14">
        <v>0</v>
      </c>
      <c r="J2144" s="14">
        <v>0</v>
      </c>
      <c r="K2144" s="15" t="str">
        <f>HYPERLINK("http://www.facebook.com/twitter","Facebook")</f>
        <v>Facebook</v>
      </c>
      <c r="L2144" s="14">
        <v>657</v>
      </c>
      <c r="M2144" s="14">
        <v>594</v>
      </c>
      <c r="N2144" s="14">
        <v>15</v>
      </c>
      <c r="O2144" s="16"/>
      <c r="P2144" s="6">
        <v>41898.018310185187</v>
      </c>
      <c r="Q2144" s="12" t="s">
        <v>1717</v>
      </c>
      <c r="R2144" s="17" t="s">
        <v>1718</v>
      </c>
      <c r="S2144" s="11"/>
      <c r="T2144" s="11"/>
      <c r="U2144" s="10" t="str">
        <f>HYPERLINK("https://pbs.twimg.com/profile_images/654135636920803328/hjm6Cnr_.jpg","View")</f>
        <v>View</v>
      </c>
    </row>
    <row r="2145" spans="1:21" ht="40.799999999999997">
      <c r="A2145" s="6">
        <v>43438.779328703706</v>
      </c>
      <c r="B2145" s="7" t="str">
        <f>HYPERLINK("https://twitter.com/AdeSiracusa","@AdeSiracusa")</f>
        <v>@AdeSiracusa</v>
      </c>
      <c r="C2145" s="8" t="s">
        <v>79</v>
      </c>
      <c r="D2145" s="9" t="s">
        <v>8302</v>
      </c>
      <c r="E2145" s="10" t="str">
        <f>HYPERLINK("https://twitter.com/AdeSiracusa/status/1070010400756817921","1070010400756817921")</f>
        <v>1070010400756817921</v>
      </c>
      <c r="F2145" s="13" t="s">
        <v>8303</v>
      </c>
      <c r="G2145" s="11"/>
      <c r="H2145" s="11"/>
      <c r="I2145" s="14">
        <v>1</v>
      </c>
      <c r="J2145" s="14">
        <v>1</v>
      </c>
      <c r="K2145" s="15" t="str">
        <f>HYPERLINK("http://www.republicosvenezuela.com/","AdeSiracusa")</f>
        <v>AdeSiracusa</v>
      </c>
      <c r="L2145" s="14">
        <v>4091</v>
      </c>
      <c r="M2145" s="14">
        <v>4122</v>
      </c>
      <c r="N2145" s="14">
        <v>12</v>
      </c>
      <c r="O2145" s="16"/>
      <c r="P2145" s="6">
        <v>42958.576388888891</v>
      </c>
      <c r="Q2145" s="12" t="s">
        <v>87</v>
      </c>
      <c r="R2145" s="17" t="s">
        <v>88</v>
      </c>
      <c r="S2145" s="11"/>
      <c r="T2145" s="11"/>
      <c r="U2145" s="10" t="str">
        <f>HYPERLINK("https://pbs.twimg.com/profile_images/895978354591105024/x2wNXrPl.jpg","View")</f>
        <v>View</v>
      </c>
    </row>
    <row r="2146" spans="1:21" ht="51">
      <c r="A2146" s="6">
        <v>43438.779212962967</v>
      </c>
      <c r="B2146" s="7" t="str">
        <f>HYPERLINK("https://twitter.com/prusesista","@prusesista")</f>
        <v>@prusesista</v>
      </c>
      <c r="C2146" s="8" t="s">
        <v>6922</v>
      </c>
      <c r="D2146" s="9" t="s">
        <v>6923</v>
      </c>
      <c r="E2146" s="10" t="str">
        <f>HYPERLINK("https://twitter.com/prusesista/status/1070010361745678338","1070010361745678338")</f>
        <v>1070010361745678338</v>
      </c>
      <c r="F2146" s="11"/>
      <c r="G2146" s="11"/>
      <c r="H2146" s="11"/>
      <c r="I2146" s="14">
        <v>0</v>
      </c>
      <c r="J2146" s="14">
        <v>2</v>
      </c>
      <c r="K2146" s="15" t="str">
        <f t="shared" ref="K2146:K2148" si="417">HYPERLINK("http://twitter.com","Twitter Web Client")</f>
        <v>Twitter Web Client</v>
      </c>
      <c r="L2146" s="14">
        <v>3783</v>
      </c>
      <c r="M2146" s="14">
        <v>990</v>
      </c>
      <c r="N2146" s="14">
        <v>57</v>
      </c>
      <c r="O2146" s="16"/>
      <c r="P2146" s="6">
        <v>41454.534942129627</v>
      </c>
      <c r="Q2146" s="12" t="s">
        <v>6924</v>
      </c>
      <c r="R2146" s="17" t="s">
        <v>6925</v>
      </c>
      <c r="S2146" s="11"/>
      <c r="T2146" s="11"/>
      <c r="U2146" s="10" t="str">
        <f>HYPERLINK("https://pbs.twimg.com/profile_images/1032959317840945152/z63Toza9.jpg","View")</f>
        <v>View</v>
      </c>
    </row>
    <row r="2147" spans="1:21" ht="81.599999999999994">
      <c r="A2147" s="6">
        <v>43438.778321759259</v>
      </c>
      <c r="B2147" s="7" t="str">
        <f>HYPERLINK("https://twitter.com/Alex__Hurtado","@Alex__Hurtado")</f>
        <v>@Alex__Hurtado</v>
      </c>
      <c r="C2147" s="8" t="s">
        <v>6927</v>
      </c>
      <c r="D2147" s="9" t="s">
        <v>6928</v>
      </c>
      <c r="E2147" s="10" t="str">
        <f>HYPERLINK("https://twitter.com/Alex__Hurtado/status/1070010037186256896","1070010037186256896")</f>
        <v>1070010037186256896</v>
      </c>
      <c r="F2147" s="12" t="s">
        <v>6931</v>
      </c>
      <c r="G2147" s="11"/>
      <c r="H2147" s="11"/>
      <c r="I2147" s="14">
        <v>0</v>
      </c>
      <c r="J2147" s="14">
        <v>0</v>
      </c>
      <c r="K2147" s="15" t="str">
        <f t="shared" si="417"/>
        <v>Twitter Web Client</v>
      </c>
      <c r="L2147" s="14">
        <v>631</v>
      </c>
      <c r="M2147" s="14">
        <v>424</v>
      </c>
      <c r="N2147" s="14">
        <v>52</v>
      </c>
      <c r="O2147" s="16"/>
      <c r="P2147" s="6">
        <v>40536.803240740745</v>
      </c>
      <c r="Q2147" s="12" t="s">
        <v>1785</v>
      </c>
      <c r="R2147" s="17" t="s">
        <v>6932</v>
      </c>
      <c r="S2147" s="13" t="s">
        <v>6933</v>
      </c>
      <c r="T2147" s="11"/>
      <c r="U2147" s="10" t="str">
        <f>HYPERLINK("https://pbs.twimg.com/profile_images/866764056732086272/HlGlAuEF.jpg","View")</f>
        <v>View</v>
      </c>
    </row>
    <row r="2148" spans="1:21" ht="40.799999999999997">
      <c r="A2148" s="6">
        <v>43438.77753472222</v>
      </c>
      <c r="B2148" s="7" t="str">
        <f>HYPERLINK("https://twitter.com/AlessaPRusso","@AlessaPRusso")</f>
        <v>@AlessaPRusso</v>
      </c>
      <c r="C2148" s="8" t="s">
        <v>6934</v>
      </c>
      <c r="D2148" s="9" t="s">
        <v>6935</v>
      </c>
      <c r="E2148" s="10" t="str">
        <f>HYPERLINK("https://twitter.com/AlessaPRusso/status/1070009753017888770","1070009753017888770")</f>
        <v>1070009753017888770</v>
      </c>
      <c r="F2148" s="11"/>
      <c r="G2148" s="11"/>
      <c r="H2148" s="11"/>
      <c r="I2148" s="14">
        <v>0</v>
      </c>
      <c r="J2148" s="14">
        <v>0</v>
      </c>
      <c r="K2148" s="15" t="str">
        <f t="shared" si="417"/>
        <v>Twitter Web Client</v>
      </c>
      <c r="L2148" s="14">
        <v>201</v>
      </c>
      <c r="M2148" s="14">
        <v>151</v>
      </c>
      <c r="N2148" s="14">
        <v>3</v>
      </c>
      <c r="O2148" s="16"/>
      <c r="P2148" s="6">
        <v>40900.172314814816</v>
      </c>
      <c r="Q2148" s="12" t="s">
        <v>6936</v>
      </c>
      <c r="R2148" s="17" t="s">
        <v>6937</v>
      </c>
      <c r="S2148" s="11"/>
      <c r="T2148" s="11"/>
      <c r="U2148" s="10" t="str">
        <f>HYPERLINK("https://pbs.twimg.com/profile_images/920342659037782017/c1flPqXz.jpg","View")</f>
        <v>View</v>
      </c>
    </row>
    <row r="2149" spans="1:21" ht="61.2">
      <c r="A2149" s="6">
        <v>43438.777060185181</v>
      </c>
      <c r="B2149" s="7" t="str">
        <f>HYPERLINK("https://twitter.com/Megapondio","@Megapondio")</f>
        <v>@Megapondio</v>
      </c>
      <c r="C2149" s="8" t="s">
        <v>6938</v>
      </c>
      <c r="D2149" s="9" t="s">
        <v>6939</v>
      </c>
      <c r="E2149" s="10" t="str">
        <f>HYPERLINK("https://twitter.com/Megapondio/status/1070009581479346176","1070009581479346176")</f>
        <v>1070009581479346176</v>
      </c>
      <c r="F2149" s="13" t="s">
        <v>6940</v>
      </c>
      <c r="G2149" s="13" t="s">
        <v>6941</v>
      </c>
      <c r="H2149" s="11"/>
      <c r="I2149" s="14">
        <v>0</v>
      </c>
      <c r="J2149" s="14">
        <v>0</v>
      </c>
      <c r="K2149" s="15" t="str">
        <f>HYPERLINK("http://twitter.com/download/android","Twitter for Android")</f>
        <v>Twitter for Android</v>
      </c>
      <c r="L2149" s="14">
        <v>275</v>
      </c>
      <c r="M2149" s="14">
        <v>1235</v>
      </c>
      <c r="N2149" s="14">
        <v>14</v>
      </c>
      <c r="O2149" s="16"/>
      <c r="P2149" s="6">
        <v>40807.504004629627</v>
      </c>
      <c r="Q2149" s="12" t="s">
        <v>6942</v>
      </c>
      <c r="R2149" s="17" t="s">
        <v>6943</v>
      </c>
      <c r="S2149" s="11"/>
      <c r="T2149" s="11"/>
      <c r="U2149" s="10" t="str">
        <f>HYPERLINK("https://pbs.twimg.com/profile_images/1000471645377781760/4EA_uHpA.jpg","View")</f>
        <v>View</v>
      </c>
    </row>
    <row r="2150" spans="1:21" ht="40.799999999999997">
      <c r="A2150" s="6">
        <v>43438.775289351848</v>
      </c>
      <c r="B2150" s="7" t="str">
        <f>HYPERLINK("https://twitter.com/prusesista","@prusesista")</f>
        <v>@prusesista</v>
      </c>
      <c r="C2150" s="8" t="s">
        <v>6922</v>
      </c>
      <c r="D2150" s="9" t="s">
        <v>6948</v>
      </c>
      <c r="E2150" s="10" t="str">
        <f>HYPERLINK("https://twitter.com/prusesista/status/1070008939838873600","1070008939838873600")</f>
        <v>1070008939838873600</v>
      </c>
      <c r="F2150" s="13" t="s">
        <v>6949</v>
      </c>
      <c r="G2150" s="11"/>
      <c r="H2150" s="11"/>
      <c r="I2150" s="14">
        <v>0</v>
      </c>
      <c r="J2150" s="14">
        <v>0</v>
      </c>
      <c r="K2150" s="15" t="str">
        <f t="shared" ref="K2150:K2151" si="418">HYPERLINK("http://twitter.com","Twitter Web Client")</f>
        <v>Twitter Web Client</v>
      </c>
      <c r="L2150" s="14">
        <v>3783</v>
      </c>
      <c r="M2150" s="14">
        <v>990</v>
      </c>
      <c r="N2150" s="14">
        <v>57</v>
      </c>
      <c r="O2150" s="16"/>
      <c r="P2150" s="6">
        <v>41454.534942129627</v>
      </c>
      <c r="Q2150" s="12" t="s">
        <v>6924</v>
      </c>
      <c r="R2150" s="17" t="s">
        <v>6925</v>
      </c>
      <c r="S2150" s="11"/>
      <c r="T2150" s="11"/>
      <c r="U2150" s="10" t="str">
        <f>HYPERLINK("https://pbs.twimg.com/profile_images/1032959317840945152/z63Toza9.jpg","View")</f>
        <v>View</v>
      </c>
    </row>
    <row r="2151" spans="1:21" ht="61.2">
      <c r="A2151" s="6">
        <v>43438.772731481484</v>
      </c>
      <c r="B2151" s="7" t="str">
        <f>HYPERLINK("https://twitter.com/usingneurons","@usingneurons")</f>
        <v>@usingneurons</v>
      </c>
      <c r="C2151" s="8" t="s">
        <v>6950</v>
      </c>
      <c r="D2151" s="9" t="s">
        <v>6951</v>
      </c>
      <c r="E2151" s="10" t="str">
        <f>HYPERLINK("https://twitter.com/usingneurons/status/1070008011475828736","1070008011475828736")</f>
        <v>1070008011475828736</v>
      </c>
      <c r="F2151" s="11"/>
      <c r="G2151" s="11"/>
      <c r="H2151" s="11"/>
      <c r="I2151" s="14">
        <v>0</v>
      </c>
      <c r="J2151" s="14">
        <v>0</v>
      </c>
      <c r="K2151" s="15" t="str">
        <f t="shared" si="418"/>
        <v>Twitter Web Client</v>
      </c>
      <c r="L2151" s="14">
        <v>927</v>
      </c>
      <c r="M2151" s="14">
        <v>901</v>
      </c>
      <c r="N2151" s="14">
        <v>21</v>
      </c>
      <c r="O2151" s="16"/>
      <c r="P2151" s="6">
        <v>41781.782407407409</v>
      </c>
      <c r="Q2151" s="11"/>
      <c r="R2151" s="17" t="s">
        <v>6952</v>
      </c>
      <c r="S2151" s="11"/>
      <c r="T2151" s="11"/>
      <c r="U2151" s="10" t="str">
        <f>HYPERLINK("https://pbs.twimg.com/profile_images/497787841733066752/jnJEf2Rm.jpeg","View")</f>
        <v>View</v>
      </c>
    </row>
    <row r="2152" spans="1:21" ht="51">
      <c r="A2152" s="6">
        <v>43438.76829861111</v>
      </c>
      <c r="B2152" s="7" t="str">
        <f>HYPERLINK("https://twitter.com/mariavalle7","@mariavalle7")</f>
        <v>@mariavalle7</v>
      </c>
      <c r="C2152" s="8" t="s">
        <v>6953</v>
      </c>
      <c r="D2152" s="9" t="s">
        <v>6954</v>
      </c>
      <c r="E2152" s="10" t="str">
        <f>HYPERLINK("https://twitter.com/mariavalle7/status/1070006406101823489","1070006406101823489")</f>
        <v>1070006406101823489</v>
      </c>
      <c r="F2152" s="11"/>
      <c r="G2152" s="13" t="s">
        <v>6955</v>
      </c>
      <c r="H2152" s="11"/>
      <c r="I2152" s="14">
        <v>27</v>
      </c>
      <c r="J2152" s="14">
        <v>43</v>
      </c>
      <c r="K2152" s="15" t="str">
        <f>HYPERLINK("http://twitter.com/download/iphone","Twitter for iPhone")</f>
        <v>Twitter for iPhone</v>
      </c>
      <c r="L2152" s="14">
        <v>2085</v>
      </c>
      <c r="M2152" s="14">
        <v>1380</v>
      </c>
      <c r="N2152" s="14">
        <v>23</v>
      </c>
      <c r="O2152" s="16"/>
      <c r="P2152" s="6">
        <v>40748.409537037034</v>
      </c>
      <c r="Q2152" s="12" t="s">
        <v>6956</v>
      </c>
      <c r="R2152" s="17" t="s">
        <v>6957</v>
      </c>
      <c r="S2152" s="11"/>
      <c r="T2152" s="11"/>
      <c r="U2152" s="10" t="str">
        <f>HYPERLINK("https://pbs.twimg.com/profile_images/1063579722121125888/fFcmFqXS.jpg","View")</f>
        <v>View</v>
      </c>
    </row>
    <row r="2153" spans="1:21" ht="61.2">
      <c r="A2153" s="6">
        <v>43438.768194444448</v>
      </c>
      <c r="B2153" s="7" t="str">
        <f>HYPERLINK("https://twitter.com/CoordinaValle","@CoordinaValle")</f>
        <v>@CoordinaValle</v>
      </c>
      <c r="C2153" s="8" t="s">
        <v>6958</v>
      </c>
      <c r="D2153" s="9" t="s">
        <v>6959</v>
      </c>
      <c r="E2153" s="10" t="str">
        <f>HYPERLINK("https://twitter.com/CoordinaValle/status/1070006365865893888","1070006365865893888")</f>
        <v>1070006365865893888</v>
      </c>
      <c r="F2153" s="12" t="s">
        <v>6960</v>
      </c>
      <c r="G2153" s="11"/>
      <c r="H2153" s="11"/>
      <c r="I2153" s="14">
        <v>0</v>
      </c>
      <c r="J2153" s="14">
        <v>0</v>
      </c>
      <c r="K2153" s="15" t="str">
        <f t="shared" ref="K2153:K2154" si="419">HYPERLINK("http://twitter.com/download/android","Twitter for Android")</f>
        <v>Twitter for Android</v>
      </c>
      <c r="L2153" s="14">
        <v>3658</v>
      </c>
      <c r="M2153" s="14">
        <v>1478</v>
      </c>
      <c r="N2153" s="14">
        <v>67</v>
      </c>
      <c r="O2153" s="16"/>
      <c r="P2153" s="6">
        <v>41711.062916666662</v>
      </c>
      <c r="Q2153" s="12" t="s">
        <v>499</v>
      </c>
      <c r="R2153" s="17" t="s">
        <v>6961</v>
      </c>
      <c r="S2153" s="13" t="s">
        <v>6962</v>
      </c>
      <c r="T2153" s="11"/>
      <c r="U2153" s="10" t="str">
        <f>HYPERLINK("https://pbs.twimg.com/profile_images/775481202539163651/52QeNxwv.jpg","View")</f>
        <v>View</v>
      </c>
    </row>
    <row r="2154" spans="1:21" ht="61.2">
      <c r="A2154" s="6">
        <v>43438.766898148147</v>
      </c>
      <c r="B2154" s="7" t="str">
        <f>HYPERLINK("https://twitter.com/carlescs24","@carlescs24")</f>
        <v>@carlescs24</v>
      </c>
      <c r="C2154" s="8" t="s">
        <v>8304</v>
      </c>
      <c r="D2154" s="9" t="s">
        <v>8305</v>
      </c>
      <c r="E2154" s="10" t="str">
        <f>HYPERLINK("https://twitter.com/carlescs24/status/1070005898419032064","1070005898419032064")</f>
        <v>1070005898419032064</v>
      </c>
      <c r="F2154" s="13" t="s">
        <v>8306</v>
      </c>
      <c r="G2154" s="11"/>
      <c r="H2154" s="11"/>
      <c r="I2154" s="14">
        <v>0</v>
      </c>
      <c r="J2154" s="14">
        <v>2</v>
      </c>
      <c r="K2154" s="15" t="str">
        <f t="shared" si="419"/>
        <v>Twitter for Android</v>
      </c>
      <c r="L2154" s="14">
        <v>186</v>
      </c>
      <c r="M2154" s="14">
        <v>365</v>
      </c>
      <c r="N2154" s="14">
        <v>8</v>
      </c>
      <c r="O2154" s="16"/>
      <c r="P2154" s="6">
        <v>42458.915937500002</v>
      </c>
      <c r="Q2154" s="12" t="s">
        <v>8307</v>
      </c>
      <c r="R2154" s="17" t="s">
        <v>8308</v>
      </c>
      <c r="S2154" s="11"/>
      <c r="T2154" s="11"/>
      <c r="U2154" s="10" t="str">
        <f>HYPERLINK("https://pbs.twimg.com/profile_images/1055336822249795584/NntrCsTq.jpg","View")</f>
        <v>View</v>
      </c>
    </row>
    <row r="2155" spans="1:21" ht="71.400000000000006">
      <c r="A2155" s="6">
        <v>43438.765289351853</v>
      </c>
      <c r="B2155" s="7" t="str">
        <f>HYPERLINK("https://twitter.com/cspescados","@cspescados")</f>
        <v>@cspescados</v>
      </c>
      <c r="C2155" s="8" t="s">
        <v>600</v>
      </c>
      <c r="D2155" s="9" t="s">
        <v>8309</v>
      </c>
      <c r="E2155" s="10" t="str">
        <f>HYPERLINK("https://twitter.com/cspescados/status/1070005313560969216","1070005313560969216")</f>
        <v>1070005313560969216</v>
      </c>
      <c r="F2155" s="12" t="s">
        <v>6915</v>
      </c>
      <c r="G2155" s="11"/>
      <c r="H2155" s="11"/>
      <c r="I2155" s="14">
        <v>43</v>
      </c>
      <c r="J2155" s="14">
        <v>48</v>
      </c>
      <c r="K2155" s="15" t="str">
        <f>HYPERLINK("https://about.twitter.com/products/tweetdeck","TweetDeck")</f>
        <v>TweetDeck</v>
      </c>
      <c r="L2155" s="14">
        <v>14978</v>
      </c>
      <c r="M2155" s="14">
        <v>818</v>
      </c>
      <c r="N2155" s="14">
        <v>128</v>
      </c>
      <c r="O2155" s="16"/>
      <c r="P2155" s="6">
        <v>42097.732581018514</v>
      </c>
      <c r="Q2155" s="12" t="s">
        <v>606</v>
      </c>
      <c r="R2155" s="17" t="s">
        <v>607</v>
      </c>
      <c r="S2155" s="13" t="s">
        <v>608</v>
      </c>
      <c r="T2155" s="11"/>
      <c r="U2155" s="10" t="str">
        <f>HYPERLINK("https://pbs.twimg.com/profile_images/600268890959126528/aC9kvTK_.jpg","View")</f>
        <v>View</v>
      </c>
    </row>
    <row r="2156" spans="1:21" ht="40.799999999999997">
      <c r="A2156" s="6">
        <v>43438.763368055559</v>
      </c>
      <c r="B2156" s="7" t="str">
        <f>HYPERLINK("https://twitter.com/DesInfoCAT","@DesInfoCAT")</f>
        <v>@DesInfoCAT</v>
      </c>
      <c r="C2156" s="8" t="s">
        <v>8310</v>
      </c>
      <c r="D2156" s="9" t="s">
        <v>8311</v>
      </c>
      <c r="E2156" s="10" t="str">
        <f>HYPERLINK("https://twitter.com/DesInfoCAT/status/1070004618342604800","1070004618342604800")</f>
        <v>1070004618342604800</v>
      </c>
      <c r="F2156" s="11"/>
      <c r="G2156" s="13" t="s">
        <v>8312</v>
      </c>
      <c r="H2156" s="11"/>
      <c r="I2156" s="14">
        <v>26</v>
      </c>
      <c r="J2156" s="14">
        <v>63</v>
      </c>
      <c r="K2156" s="15" t="str">
        <f>HYPERLINK("http://twitter.com/download/iphone","Twitter for iPhone")</f>
        <v>Twitter for iPhone</v>
      </c>
      <c r="L2156" s="14">
        <v>22230</v>
      </c>
      <c r="M2156" s="14">
        <v>30</v>
      </c>
      <c r="N2156" s="14">
        <v>162</v>
      </c>
      <c r="O2156" s="16"/>
      <c r="P2156" s="6">
        <v>40759.192731481482</v>
      </c>
      <c r="Q2156" s="12" t="s">
        <v>581</v>
      </c>
      <c r="R2156" s="17" t="s">
        <v>8313</v>
      </c>
      <c r="S2156" s="11"/>
      <c r="T2156" s="11"/>
      <c r="U2156" s="10" t="str">
        <f>HYPERLINK("https://pbs.twimg.com/profile_images/1050068144449044480/WnfVi3dq.jpg","View")</f>
        <v>View</v>
      </c>
    </row>
    <row r="2157" spans="1:21" ht="20.399999999999999">
      <c r="A2157" s="6">
        <v>43438.762395833328</v>
      </c>
      <c r="B2157" s="7" t="str">
        <f>HYPERLINK("https://twitter.com/saladinaplasen1","@saladinaplasen1")</f>
        <v>@saladinaplasen1</v>
      </c>
      <c r="C2157" s="8" t="s">
        <v>8314</v>
      </c>
      <c r="D2157" s="9" t="s">
        <v>4445</v>
      </c>
      <c r="E2157" s="10" t="str">
        <f>HYPERLINK("https://twitter.com/saladinaplasen1/status/1070004265496780801","1070004265496780801")</f>
        <v>1070004265496780801</v>
      </c>
      <c r="F2157" s="13" t="s">
        <v>8315</v>
      </c>
      <c r="G2157" s="11"/>
      <c r="H2157" s="11"/>
      <c r="I2157" s="14">
        <v>0</v>
      </c>
      <c r="J2157" s="14">
        <v>1</v>
      </c>
      <c r="K2157" s="15" t="str">
        <f>HYPERLINK("http://twitter.com","Twitter Web Client")</f>
        <v>Twitter Web Client</v>
      </c>
      <c r="L2157" s="14">
        <v>23</v>
      </c>
      <c r="M2157" s="14">
        <v>324</v>
      </c>
      <c r="N2157" s="14">
        <v>0</v>
      </c>
      <c r="O2157" s="16"/>
      <c r="P2157" s="6">
        <v>42771.674340277779</v>
      </c>
      <c r="Q2157" s="12" t="s">
        <v>6906</v>
      </c>
      <c r="R2157" s="18"/>
      <c r="S2157" s="11"/>
      <c r="T2157" s="11"/>
      <c r="U2157" s="19" t="s">
        <v>629</v>
      </c>
    </row>
    <row r="2158" spans="1:21" ht="51">
      <c r="A2158" s="6">
        <v>43438.758321759262</v>
      </c>
      <c r="B2158" s="7" t="str">
        <f>HYPERLINK("https://twitter.com/gaztelumaite","@gaztelumaite")</f>
        <v>@gaztelumaite</v>
      </c>
      <c r="C2158" s="8" t="s">
        <v>8316</v>
      </c>
      <c r="D2158" s="9" t="s">
        <v>8317</v>
      </c>
      <c r="E2158" s="10" t="str">
        <f>HYPERLINK("https://twitter.com/gaztelumaite/status/1070002789382795264","1070002789382795264")</f>
        <v>1070002789382795264</v>
      </c>
      <c r="F2158" s="13" t="s">
        <v>8318</v>
      </c>
      <c r="G2158" s="11"/>
      <c r="H2158" s="11"/>
      <c r="I2158" s="14">
        <v>1</v>
      </c>
      <c r="J2158" s="14">
        <v>1</v>
      </c>
      <c r="K2158" s="15" t="str">
        <f t="shared" ref="K2158:K2160" si="420">HYPERLINK("http://twitter.com/download/android","Twitter for Android")</f>
        <v>Twitter for Android</v>
      </c>
      <c r="L2158" s="14">
        <v>721</v>
      </c>
      <c r="M2158" s="14">
        <v>581</v>
      </c>
      <c r="N2158" s="14">
        <v>9</v>
      </c>
      <c r="O2158" s="16"/>
      <c r="P2158" s="6">
        <v>40494.72314814815</v>
      </c>
      <c r="Q2158" s="12" t="s">
        <v>60</v>
      </c>
      <c r="R2158" s="17" t="s">
        <v>8319</v>
      </c>
      <c r="S2158" s="11"/>
      <c r="T2158" s="11"/>
      <c r="U2158" s="10" t="str">
        <f>HYPERLINK("https://pbs.twimg.com/profile_images/1017492230989402113/F-ctNdWe.jpg","View")</f>
        <v>View</v>
      </c>
    </row>
    <row r="2159" spans="1:21" ht="51">
      <c r="A2159" s="6">
        <v>43438.7581712963</v>
      </c>
      <c r="B2159" s="7" t="str">
        <f>HYPERLINK("https://twitter.com/WSilvani","@WSilvani")</f>
        <v>@WSilvani</v>
      </c>
      <c r="C2159" s="8" t="s">
        <v>6963</v>
      </c>
      <c r="D2159" s="9" t="s">
        <v>6964</v>
      </c>
      <c r="E2159" s="10" t="str">
        <f>HYPERLINK("https://twitter.com/WSilvani/status/1070002736895352833","1070002736895352833")</f>
        <v>1070002736895352833</v>
      </c>
      <c r="F2159" s="11"/>
      <c r="G2159" s="11"/>
      <c r="H2159" s="11"/>
      <c r="I2159" s="14">
        <v>0</v>
      </c>
      <c r="J2159" s="14">
        <v>0</v>
      </c>
      <c r="K2159" s="15" t="str">
        <f t="shared" si="420"/>
        <v>Twitter for Android</v>
      </c>
      <c r="L2159" s="14">
        <v>52</v>
      </c>
      <c r="M2159" s="14">
        <v>221</v>
      </c>
      <c r="N2159" s="14">
        <v>0</v>
      </c>
      <c r="O2159" s="16"/>
      <c r="P2159" s="6">
        <v>41302.846365740741</v>
      </c>
      <c r="Q2159" s="11"/>
      <c r="R2159" s="17" t="s">
        <v>6966</v>
      </c>
      <c r="S2159" s="11"/>
      <c r="T2159" s="11"/>
      <c r="U2159" s="10" t="str">
        <f>HYPERLINK("https://pbs.twimg.com/profile_images/378800000264120228/908f5f2486e27b4cb34d5d76246a9de9.jpeg","View")</f>
        <v>View</v>
      </c>
    </row>
    <row r="2160" spans="1:21" ht="40.799999999999997">
      <c r="A2160" s="6">
        <v>43438.754351851851</v>
      </c>
      <c r="B2160" s="7" t="str">
        <f>HYPERLINK("https://twitter.com/gonzaire","@gonzaire")</f>
        <v>@gonzaire</v>
      </c>
      <c r="C2160" s="8" t="s">
        <v>8320</v>
      </c>
      <c r="D2160" s="9" t="s">
        <v>8321</v>
      </c>
      <c r="E2160" s="10" t="str">
        <f>HYPERLINK("https://twitter.com/gonzaire/status/1070001352607260672","1070001352607260672")</f>
        <v>1070001352607260672</v>
      </c>
      <c r="F2160" s="11"/>
      <c r="G2160" s="11"/>
      <c r="H2160" s="11"/>
      <c r="I2160" s="14">
        <v>0</v>
      </c>
      <c r="J2160" s="14">
        <v>1</v>
      </c>
      <c r="K2160" s="15" t="str">
        <f t="shared" si="420"/>
        <v>Twitter for Android</v>
      </c>
      <c r="L2160" s="14">
        <v>3044</v>
      </c>
      <c r="M2160" s="14">
        <v>2327</v>
      </c>
      <c r="N2160" s="14">
        <v>58</v>
      </c>
      <c r="O2160" s="16"/>
      <c r="P2160" s="6">
        <v>40692.942361111112</v>
      </c>
      <c r="Q2160" s="12" t="s">
        <v>8322</v>
      </c>
      <c r="R2160" s="17" t="s">
        <v>8323</v>
      </c>
      <c r="S2160" s="13" t="s">
        <v>8324</v>
      </c>
      <c r="T2160" s="11"/>
      <c r="U2160" s="10" t="str">
        <f>HYPERLINK("https://pbs.twimg.com/profile_images/1374560958/PJ.jpg","View")</f>
        <v>View</v>
      </c>
    </row>
    <row r="2161" spans="1:21" ht="30.6">
      <c r="A2161" s="6">
        <v>43438.753564814819</v>
      </c>
      <c r="B2161" s="7" t="str">
        <f>HYPERLINK("https://twitter.com/LAHORADELPATIO1","@LAHORADELPATIO1")</f>
        <v>@LAHORADELPATIO1</v>
      </c>
      <c r="C2161" s="8" t="s">
        <v>6967</v>
      </c>
      <c r="D2161" s="9" t="s">
        <v>6968</v>
      </c>
      <c r="E2161" s="10" t="str">
        <f>HYPERLINK("https://twitter.com/LAHORADELPATIO1/status/1070001065515540480","1070001065515540480")</f>
        <v>1070001065515540480</v>
      </c>
      <c r="F2161" s="11"/>
      <c r="G2161" s="13" t="s">
        <v>6969</v>
      </c>
      <c r="H2161" s="11"/>
      <c r="I2161" s="14">
        <v>0</v>
      </c>
      <c r="J2161" s="14">
        <v>0</v>
      </c>
      <c r="K2161" s="15" t="str">
        <f>HYPERLINK("http://twitter.com/download/iphone","Twitter for iPhone")</f>
        <v>Twitter for iPhone</v>
      </c>
      <c r="L2161" s="14">
        <v>2</v>
      </c>
      <c r="M2161" s="14">
        <v>25</v>
      </c>
      <c r="N2161" s="14">
        <v>0</v>
      </c>
      <c r="O2161" s="16"/>
      <c r="P2161" s="6">
        <v>43438.414201388892</v>
      </c>
      <c r="Q2161" s="12" t="s">
        <v>6970</v>
      </c>
      <c r="R2161" s="17" t="s">
        <v>6971</v>
      </c>
      <c r="S2161" s="11"/>
      <c r="T2161" s="11"/>
      <c r="U2161" s="10" t="str">
        <f>HYPERLINK("https://pbs.twimg.com/profile_images/1069915366091079683/67pmAbqY.jpg","View")</f>
        <v>View</v>
      </c>
    </row>
    <row r="2162" spans="1:21" ht="40.799999999999997">
      <c r="A2162" s="6">
        <v>43438.753263888888</v>
      </c>
      <c r="B2162" s="7" t="str">
        <f>HYPERLINK("https://twitter.com/PPantolomeo","@PPantolomeo")</f>
        <v>@PPantolomeo</v>
      </c>
      <c r="C2162" s="8" t="s">
        <v>6972</v>
      </c>
      <c r="D2162" s="9" t="s">
        <v>6973</v>
      </c>
      <c r="E2162" s="10" t="str">
        <f>HYPERLINK("https://twitter.com/PPantolomeo/status/1070000956673327104","1070000956673327104")</f>
        <v>1070000956673327104</v>
      </c>
      <c r="F2162" s="12" t="s">
        <v>6974</v>
      </c>
      <c r="G2162" s="11"/>
      <c r="H2162" s="11"/>
      <c r="I2162" s="14">
        <v>0</v>
      </c>
      <c r="J2162" s="14">
        <v>3</v>
      </c>
      <c r="K2162" s="15" t="str">
        <f>HYPERLINK("http://twitter.com","Twitter Web Client")</f>
        <v>Twitter Web Client</v>
      </c>
      <c r="L2162" s="14">
        <v>6984</v>
      </c>
      <c r="M2162" s="14">
        <v>1010</v>
      </c>
      <c r="N2162" s="14">
        <v>46</v>
      </c>
      <c r="O2162" s="16"/>
      <c r="P2162" s="6">
        <v>41068.871736111112</v>
      </c>
      <c r="Q2162" s="12" t="s">
        <v>6975</v>
      </c>
      <c r="R2162" s="17" t="s">
        <v>6976</v>
      </c>
      <c r="S2162" s="11"/>
      <c r="T2162" s="11"/>
      <c r="U2162" s="10" t="str">
        <f>HYPERLINK("https://pbs.twimg.com/profile_images/1055213519644311552/4BwV44Xh.jpg","View")</f>
        <v>View</v>
      </c>
    </row>
    <row r="2163" spans="1:21" ht="71.400000000000006">
      <c r="A2163" s="6">
        <v>43438.752696759257</v>
      </c>
      <c r="B2163" s="7" t="str">
        <f>HYPERLINK("https://twitter.com/JMJULIANR","@JMJULIANR")</f>
        <v>@JMJULIANR</v>
      </c>
      <c r="C2163" s="8" t="s">
        <v>6977</v>
      </c>
      <c r="D2163" s="9" t="s">
        <v>6978</v>
      </c>
      <c r="E2163" s="10" t="str">
        <f>HYPERLINK("https://twitter.com/JMJULIANR/status/1070000753132085249","1070000753132085249")</f>
        <v>1070000753132085249</v>
      </c>
      <c r="F2163" s="13" t="s">
        <v>6979</v>
      </c>
      <c r="G2163" s="13" t="s">
        <v>6980</v>
      </c>
      <c r="H2163" s="11"/>
      <c r="I2163" s="14">
        <v>0</v>
      </c>
      <c r="J2163" s="14">
        <v>0</v>
      </c>
      <c r="K2163" s="15" t="str">
        <f t="shared" ref="K2163:K2164" si="421">HYPERLINK("http://twitter.com/download/iphone","Twitter for iPhone")</f>
        <v>Twitter for iPhone</v>
      </c>
      <c r="L2163" s="14">
        <v>546</v>
      </c>
      <c r="M2163" s="14">
        <v>2049</v>
      </c>
      <c r="N2163" s="14">
        <v>2</v>
      </c>
      <c r="O2163" s="16"/>
      <c r="P2163" s="6">
        <v>40310.726064814815</v>
      </c>
      <c r="Q2163" s="11"/>
      <c r="R2163" s="18"/>
      <c r="S2163" s="11"/>
      <c r="T2163" s="11"/>
      <c r="U2163" s="10" t="str">
        <f>HYPERLINK("https://pbs.twimg.com/profile_images/1053998675255590912/rat5eiT4.jpg","View")</f>
        <v>View</v>
      </c>
    </row>
    <row r="2164" spans="1:21" ht="61.2">
      <c r="A2164" s="6">
        <v>43438.752372685187</v>
      </c>
      <c r="B2164" s="7" t="str">
        <f>HYPERLINK("https://twitter.com/ayalamendi","@ayalamendi")</f>
        <v>@ayalamendi</v>
      </c>
      <c r="C2164" s="8" t="s">
        <v>6981</v>
      </c>
      <c r="D2164" s="9" t="s">
        <v>6982</v>
      </c>
      <c r="E2164" s="10" t="str">
        <f>HYPERLINK("https://twitter.com/ayalamendi/status/1070000632160010240","1070000632160010240")</f>
        <v>1070000632160010240</v>
      </c>
      <c r="F2164" s="11"/>
      <c r="G2164" s="11"/>
      <c r="H2164" s="11"/>
      <c r="I2164" s="14">
        <v>0</v>
      </c>
      <c r="J2164" s="14">
        <v>0</v>
      </c>
      <c r="K2164" s="15" t="str">
        <f t="shared" si="421"/>
        <v>Twitter for iPhone</v>
      </c>
      <c r="L2164" s="14">
        <v>234</v>
      </c>
      <c r="M2164" s="14">
        <v>396</v>
      </c>
      <c r="N2164" s="14">
        <v>9</v>
      </c>
      <c r="O2164" s="16"/>
      <c r="P2164" s="6">
        <v>40743.684942129628</v>
      </c>
      <c r="Q2164" s="12" t="s">
        <v>6983</v>
      </c>
      <c r="R2164" s="17" t="s">
        <v>6984</v>
      </c>
      <c r="S2164" s="11"/>
      <c r="T2164" s="11"/>
      <c r="U2164" s="10" t="str">
        <f>HYPERLINK("https://pbs.twimg.com/profile_images/776902273096118272/LjvKvcwo.jpg","View")</f>
        <v>View</v>
      </c>
    </row>
    <row r="2165" spans="1:21" ht="13.2">
      <c r="A2165" s="6">
        <v>43438.748067129629</v>
      </c>
      <c r="B2165" s="7" t="str">
        <f>HYPERLINK("https://twitter.com/fagyeri","@fagyeri")</f>
        <v>@fagyeri</v>
      </c>
      <c r="C2165" s="8" t="s">
        <v>8325</v>
      </c>
      <c r="D2165" s="9" t="s">
        <v>8326</v>
      </c>
      <c r="E2165" s="10" t="str">
        <f>HYPERLINK("https://twitter.com/fagyeri/status/1069999075423084544","1069999075423084544")</f>
        <v>1069999075423084544</v>
      </c>
      <c r="F2165" s="11"/>
      <c r="G2165" s="11"/>
      <c r="H2165" s="11"/>
      <c r="I2165" s="14">
        <v>0</v>
      </c>
      <c r="J2165" s="14">
        <v>4</v>
      </c>
      <c r="K2165" s="15" t="str">
        <f>HYPERLINK("http://twitter.com/download/android","Twitter for Android")</f>
        <v>Twitter for Android</v>
      </c>
      <c r="L2165" s="14">
        <v>157</v>
      </c>
      <c r="M2165" s="14">
        <v>166</v>
      </c>
      <c r="N2165" s="14">
        <v>6</v>
      </c>
      <c r="O2165" s="16"/>
      <c r="P2165" s="6">
        <v>42941.922048611115</v>
      </c>
      <c r="Q2165" s="11"/>
      <c r="R2165" s="17" t="s">
        <v>8327</v>
      </c>
      <c r="S2165" s="11"/>
      <c r="T2165" s="11"/>
      <c r="U2165" s="10" t="str">
        <f>HYPERLINK("https://pbs.twimg.com/profile_images/1071113048021221376/umBlmFTu.jpg","View")</f>
        <v>View</v>
      </c>
    </row>
    <row r="2166" spans="1:21" ht="40.799999999999997">
      <c r="A2166" s="6">
        <v>43438.745289351849</v>
      </c>
      <c r="B2166" s="7" t="str">
        <f>HYPERLINK("https://twitter.com/PdeSamos","@PdeSamos")</f>
        <v>@PdeSamos</v>
      </c>
      <c r="C2166" s="8" t="s">
        <v>794</v>
      </c>
      <c r="D2166" s="9" t="s">
        <v>8328</v>
      </c>
      <c r="E2166" s="10" t="str">
        <f>HYPERLINK("https://twitter.com/PdeSamos/status/1069998065958948864","1069998065958948864")</f>
        <v>1069998065958948864</v>
      </c>
      <c r="F2166" s="13" t="s">
        <v>8329</v>
      </c>
      <c r="G2166" s="11"/>
      <c r="H2166" s="11"/>
      <c r="I2166" s="14">
        <v>0</v>
      </c>
      <c r="J2166" s="14">
        <v>0</v>
      </c>
      <c r="K2166" s="15" t="str">
        <f>HYPERLINK("http://republico.ddns.net","App Libertad PdeSamos")</f>
        <v>App Libertad PdeSamos</v>
      </c>
      <c r="L2166" s="14">
        <v>5398</v>
      </c>
      <c r="M2166" s="14">
        <v>5441</v>
      </c>
      <c r="N2166" s="14">
        <v>12</v>
      </c>
      <c r="O2166" s="16"/>
      <c r="P2166" s="6">
        <v>42889.820567129631</v>
      </c>
      <c r="Q2166" s="12" t="s">
        <v>800</v>
      </c>
      <c r="R2166" s="17" t="s">
        <v>801</v>
      </c>
      <c r="S2166" s="11"/>
      <c r="T2166" s="11"/>
      <c r="U2166" s="10" t="str">
        <f>HYPERLINK("https://pbs.twimg.com/profile_images/871063742003511296/xK2IYbrO.jpg","View")</f>
        <v>View</v>
      </c>
    </row>
    <row r="2167" spans="1:21" ht="30.6">
      <c r="A2167" s="6">
        <v>43438.743483796294</v>
      </c>
      <c r="B2167" s="7" t="str">
        <f>HYPERLINK("https://twitter.com/emimartingamez","@emimartingamez")</f>
        <v>@emimartingamez</v>
      </c>
      <c r="C2167" s="8" t="s">
        <v>6985</v>
      </c>
      <c r="D2167" s="9" t="s">
        <v>6986</v>
      </c>
      <c r="E2167" s="10" t="str">
        <f>HYPERLINK("https://twitter.com/emimartingamez/status/1069997413530828800","1069997413530828800")</f>
        <v>1069997413530828800</v>
      </c>
      <c r="F2167" s="13" t="s">
        <v>6989</v>
      </c>
      <c r="G2167" s="11"/>
      <c r="H2167" s="11"/>
      <c r="I2167" s="14">
        <v>24</v>
      </c>
      <c r="J2167" s="14">
        <v>25</v>
      </c>
      <c r="K2167" s="15" t="str">
        <f t="shared" ref="K2167:K2169" si="422">HYPERLINK("http://twitter.com/download/android","Twitter for Android")</f>
        <v>Twitter for Android</v>
      </c>
      <c r="L2167" s="14">
        <v>916</v>
      </c>
      <c r="M2167" s="14">
        <v>483</v>
      </c>
      <c r="N2167" s="14">
        <v>2</v>
      </c>
      <c r="O2167" s="16"/>
      <c r="P2167" s="6">
        <v>42819.990902777776</v>
      </c>
      <c r="Q2167" s="12" t="s">
        <v>6990</v>
      </c>
      <c r="R2167" s="17" t="s">
        <v>6991</v>
      </c>
      <c r="S2167" s="11"/>
      <c r="T2167" s="11"/>
      <c r="U2167" s="10" t="str">
        <f>HYPERLINK("https://pbs.twimg.com/profile_images/1026982563741683713/8fTw7ymE.jpg","View")</f>
        <v>View</v>
      </c>
    </row>
    <row r="2168" spans="1:21" ht="51">
      <c r="A2168" s="6">
        <v>43438.742696759262</v>
      </c>
      <c r="B2168" s="7" t="str">
        <f>HYPERLINK("https://twitter.com/isguro81","@isguro81")</f>
        <v>@isguro81</v>
      </c>
      <c r="C2168" s="8" t="s">
        <v>6993</v>
      </c>
      <c r="D2168" s="9" t="s">
        <v>6994</v>
      </c>
      <c r="E2168" s="10" t="str">
        <f>HYPERLINK("https://twitter.com/isguro81/status/1069997129136029698","1069997129136029698")</f>
        <v>1069997129136029698</v>
      </c>
      <c r="F2168" s="11"/>
      <c r="G2168" s="11"/>
      <c r="H2168" s="11"/>
      <c r="I2168" s="14">
        <v>2</v>
      </c>
      <c r="J2168" s="14">
        <v>3</v>
      </c>
      <c r="K2168" s="15" t="str">
        <f t="shared" si="422"/>
        <v>Twitter for Android</v>
      </c>
      <c r="L2168" s="14">
        <v>276</v>
      </c>
      <c r="M2168" s="14">
        <v>374</v>
      </c>
      <c r="N2168" s="14">
        <v>9</v>
      </c>
      <c r="O2168" s="16"/>
      <c r="P2168" s="6">
        <v>40013.698310185187</v>
      </c>
      <c r="Q2168" s="12" t="s">
        <v>4920</v>
      </c>
      <c r="R2168" s="17" t="s">
        <v>6995</v>
      </c>
      <c r="S2168" s="11"/>
      <c r="T2168" s="11"/>
      <c r="U2168" s="10" t="str">
        <f>HYPERLINK("https://pbs.twimg.com/profile_images/2593490494/42pojXYJ","View")</f>
        <v>View</v>
      </c>
    </row>
    <row r="2169" spans="1:21" ht="71.400000000000006">
      <c r="A2169" s="6">
        <v>43438.740856481483</v>
      </c>
      <c r="B2169" s="7" t="str">
        <f>HYPERLINK("https://twitter.com/HelloTabarnia","@HelloTabarnia")</f>
        <v>@HelloTabarnia</v>
      </c>
      <c r="C2169" s="8" t="s">
        <v>2735</v>
      </c>
      <c r="D2169" s="9" t="s">
        <v>6998</v>
      </c>
      <c r="E2169" s="10" t="str">
        <f>HYPERLINK("https://twitter.com/HelloTabarnia/status/1069996459301527552","1069996459301527552")</f>
        <v>1069996459301527552</v>
      </c>
      <c r="F2169" s="12" t="s">
        <v>7001</v>
      </c>
      <c r="G2169" s="11"/>
      <c r="H2169" s="11"/>
      <c r="I2169" s="14">
        <v>0</v>
      </c>
      <c r="J2169" s="14">
        <v>0</v>
      </c>
      <c r="K2169" s="15" t="str">
        <f t="shared" si="422"/>
        <v>Twitter for Android</v>
      </c>
      <c r="L2169" s="14">
        <v>472</v>
      </c>
      <c r="M2169" s="14">
        <v>1002</v>
      </c>
      <c r="N2169" s="14">
        <v>4</v>
      </c>
      <c r="O2169" s="16"/>
      <c r="P2169" s="6">
        <v>41164.871203703704</v>
      </c>
      <c r="Q2169" s="12" t="s">
        <v>137</v>
      </c>
      <c r="R2169" s="18"/>
      <c r="S2169" s="11"/>
      <c r="T2169" s="11"/>
      <c r="U2169" s="10" t="str">
        <f>HYPERLINK("https://pbs.twimg.com/profile_images/551141362352263168/aqHFgCPU.jpeg","View")</f>
        <v>View</v>
      </c>
    </row>
    <row r="2170" spans="1:21" ht="40.799999999999997">
      <c r="A2170" s="6">
        <v>43438.739351851851</v>
      </c>
      <c r="B2170" s="7" t="str">
        <f>HYPERLINK("https://twitter.com/migupelo2","@migupelo2")</f>
        <v>@migupelo2</v>
      </c>
      <c r="C2170" s="8" t="s">
        <v>907</v>
      </c>
      <c r="D2170" s="9" t="s">
        <v>7002</v>
      </c>
      <c r="E2170" s="10" t="str">
        <f>HYPERLINK("https://twitter.com/migupelo2/status/1069995914599825410","1069995914599825410")</f>
        <v>1069995914599825410</v>
      </c>
      <c r="F2170" s="13" t="s">
        <v>7003</v>
      </c>
      <c r="G2170" s="11"/>
      <c r="H2170" s="11"/>
      <c r="I2170" s="14">
        <v>0</v>
      </c>
      <c r="J2170" s="14">
        <v>0</v>
      </c>
      <c r="K2170" s="15" t="str">
        <f>HYPERLINK("http://twitter.com","Twitter Web Client")</f>
        <v>Twitter Web Client</v>
      </c>
      <c r="L2170" s="14">
        <v>266</v>
      </c>
      <c r="M2170" s="14">
        <v>771</v>
      </c>
      <c r="N2170" s="14">
        <v>18</v>
      </c>
      <c r="O2170" s="16"/>
      <c r="P2170" s="6">
        <v>40477.868043981478</v>
      </c>
      <c r="Q2170" s="11"/>
      <c r="R2170" s="17" t="s">
        <v>914</v>
      </c>
      <c r="S2170" s="11"/>
      <c r="T2170" s="11"/>
      <c r="U2170" s="10" t="str">
        <f>HYPERLINK("https://pbs.twimg.com/profile_images/2906316440/4ed1570f50fd6f70f1b28d458997dd81.jpeg","View")</f>
        <v>View</v>
      </c>
    </row>
    <row r="2171" spans="1:21" ht="30.6">
      <c r="A2171" s="6">
        <v>43438.736886574072</v>
      </c>
      <c r="B2171" s="7" t="str">
        <f>HYPERLINK("https://twitter.com/calvare39090171","@calvare39090171")</f>
        <v>@calvare39090171</v>
      </c>
      <c r="C2171" s="8" t="s">
        <v>8330</v>
      </c>
      <c r="D2171" s="9" t="s">
        <v>8331</v>
      </c>
      <c r="E2171" s="10" t="str">
        <f>HYPERLINK("https://twitter.com/calvare39090171/status/1069995020973981696","1069995020973981696")</f>
        <v>1069995020973981696</v>
      </c>
      <c r="F2171" s="13" t="s">
        <v>8332</v>
      </c>
      <c r="G2171" s="11"/>
      <c r="H2171" s="11"/>
      <c r="I2171" s="14">
        <v>0</v>
      </c>
      <c r="J2171" s="14">
        <v>0</v>
      </c>
      <c r="K2171" s="15" t="str">
        <f>HYPERLINK("http://twitter.com/download/iphone","Twitter for iPhone")</f>
        <v>Twitter for iPhone</v>
      </c>
      <c r="L2171" s="14">
        <v>75</v>
      </c>
      <c r="M2171" s="14">
        <v>273</v>
      </c>
      <c r="N2171" s="14">
        <v>0</v>
      </c>
      <c r="O2171" s="16"/>
      <c r="P2171" s="6">
        <v>42135.682546296295</v>
      </c>
      <c r="Q2171" s="11"/>
      <c r="R2171" s="17" t="s">
        <v>8333</v>
      </c>
      <c r="S2171" s="11"/>
      <c r="T2171" s="11"/>
      <c r="U2171" s="10" t="str">
        <f>HYPERLINK("https://pbs.twimg.com/profile_images/597770448374517761/dZ_xMyHl.jpg","View")</f>
        <v>View</v>
      </c>
    </row>
    <row r="2172" spans="1:21" ht="51">
      <c r="A2172" s="6">
        <v>43438.736319444448</v>
      </c>
      <c r="B2172" s="7" t="str">
        <f>HYPERLINK("https://twitter.com/RicardoGonzi","@RicardoGonzi")</f>
        <v>@RicardoGonzi</v>
      </c>
      <c r="C2172" s="8" t="s">
        <v>7009</v>
      </c>
      <c r="D2172" s="9" t="s">
        <v>7010</v>
      </c>
      <c r="E2172" s="10" t="str">
        <f>HYPERLINK("https://twitter.com/RicardoGonzi/status/1069994815050248192","1069994815050248192")</f>
        <v>1069994815050248192</v>
      </c>
      <c r="F2172" s="11"/>
      <c r="G2172" s="11"/>
      <c r="H2172" s="11"/>
      <c r="I2172" s="14">
        <v>0</v>
      </c>
      <c r="J2172" s="14">
        <v>0</v>
      </c>
      <c r="K2172" s="15" t="str">
        <f t="shared" ref="K2172:K2173" si="423">HYPERLINK("http://twitter.com","Twitter Web Client")</f>
        <v>Twitter Web Client</v>
      </c>
      <c r="L2172" s="14">
        <v>31</v>
      </c>
      <c r="M2172" s="14">
        <v>147</v>
      </c>
      <c r="N2172" s="14">
        <v>0</v>
      </c>
      <c r="O2172" s="16"/>
      <c r="P2172" s="6">
        <v>40332.313969907409</v>
      </c>
      <c r="Q2172" s="12" t="s">
        <v>7011</v>
      </c>
      <c r="R2172" s="17" t="s">
        <v>7012</v>
      </c>
      <c r="S2172" s="11"/>
      <c r="T2172" s="11"/>
      <c r="U2172" s="10" t="str">
        <f>HYPERLINK("https://pbs.twimg.com/profile_images/2200527308/saludo_dar_la_mano.jpg","View")</f>
        <v>View</v>
      </c>
    </row>
    <row r="2173" spans="1:21" ht="102">
      <c r="A2173" s="6">
        <v>43438.733460648145</v>
      </c>
      <c r="B2173" s="7" t="str">
        <f>HYPERLINK("https://twitter.com/carmelodifazio","@carmelodifazio")</f>
        <v>@carmelodifazio</v>
      </c>
      <c r="C2173" s="8" t="s">
        <v>7013</v>
      </c>
      <c r="D2173" s="9" t="s">
        <v>7014</v>
      </c>
      <c r="E2173" s="10" t="str">
        <f>HYPERLINK("https://twitter.com/carmelodifazio/status/1069993779703230464","1069993779703230464")</f>
        <v>1069993779703230464</v>
      </c>
      <c r="F2173" s="12" t="s">
        <v>7015</v>
      </c>
      <c r="G2173" s="13" t="s">
        <v>7016</v>
      </c>
      <c r="H2173" s="11"/>
      <c r="I2173" s="14">
        <v>1</v>
      </c>
      <c r="J2173" s="14">
        <v>1</v>
      </c>
      <c r="K2173" s="15" t="str">
        <f t="shared" si="423"/>
        <v>Twitter Web Client</v>
      </c>
      <c r="L2173" s="14">
        <v>67620</v>
      </c>
      <c r="M2173" s="14">
        <v>29898</v>
      </c>
      <c r="N2173" s="14">
        <v>249</v>
      </c>
      <c r="O2173" s="16"/>
      <c r="P2173" s="6">
        <v>40525.98883101852</v>
      </c>
      <c r="Q2173" s="12" t="s">
        <v>7017</v>
      </c>
      <c r="R2173" s="17" t="s">
        <v>7018</v>
      </c>
      <c r="S2173" s="13" t="s">
        <v>7019</v>
      </c>
      <c r="T2173" s="11"/>
      <c r="U2173" s="10" t="str">
        <f>HYPERLINK("https://pbs.twimg.com/profile_images/1069385468406652930/Fe_Drk4k.jpg","View")</f>
        <v>View</v>
      </c>
    </row>
    <row r="2174" spans="1:21" ht="81.599999999999994">
      <c r="A2174" s="6">
        <v>43438.726111111115</v>
      </c>
      <c r="B2174" s="7" t="str">
        <f>HYPERLINK("https://twitter.com/OEquidad","@OEquidad")</f>
        <v>@OEquidad</v>
      </c>
      <c r="C2174" s="8" t="s">
        <v>5644</v>
      </c>
      <c r="D2174" s="9" t="s">
        <v>7020</v>
      </c>
      <c r="E2174" s="10" t="str">
        <f>HYPERLINK("https://twitter.com/OEquidad/status/1069991115519115264","1069991115519115264")</f>
        <v>1069991115519115264</v>
      </c>
      <c r="F2174" s="13" t="s">
        <v>7023</v>
      </c>
      <c r="G2174" s="11"/>
      <c r="H2174" s="11"/>
      <c r="I2174" s="14">
        <v>0</v>
      </c>
      <c r="J2174" s="14">
        <v>1</v>
      </c>
      <c r="K2174" s="15" t="str">
        <f t="shared" ref="K2174:K2175" si="424">HYPERLINK("http://twitter.com/download/iphone","Twitter for iPhone")</f>
        <v>Twitter for iPhone</v>
      </c>
      <c r="L2174" s="14">
        <v>148</v>
      </c>
      <c r="M2174" s="14">
        <v>701</v>
      </c>
      <c r="N2174" s="14">
        <v>0</v>
      </c>
      <c r="O2174" s="16"/>
      <c r="P2174" s="6">
        <v>43329.579606481479</v>
      </c>
      <c r="Q2174" s="12" t="s">
        <v>60</v>
      </c>
      <c r="R2174" s="17" t="s">
        <v>5648</v>
      </c>
      <c r="S2174" s="11"/>
      <c r="T2174" s="11"/>
      <c r="U2174" s="10" t="str">
        <f>HYPERLINK("https://pbs.twimg.com/profile_images/1030476800353337345/uFi5OkNW.jpg","View")</f>
        <v>View</v>
      </c>
    </row>
    <row r="2175" spans="1:21" ht="30.6">
      <c r="A2175" s="6">
        <v>43438.724687499998</v>
      </c>
      <c r="B2175" s="7" t="str">
        <f>HYPERLINK("https://twitter.com/1enero59","@1enero59")</f>
        <v>@1enero59</v>
      </c>
      <c r="C2175" s="8" t="s">
        <v>8334</v>
      </c>
      <c r="D2175" s="9" t="s">
        <v>8335</v>
      </c>
      <c r="E2175" s="10" t="str">
        <f>HYPERLINK("https://twitter.com/1enero59/status/1069990603126202375","1069990603126202375")</f>
        <v>1069990603126202375</v>
      </c>
      <c r="F2175" s="11"/>
      <c r="G2175" s="11"/>
      <c r="H2175" s="11"/>
      <c r="I2175" s="14">
        <v>0</v>
      </c>
      <c r="J2175" s="14">
        <v>0</v>
      </c>
      <c r="K2175" s="15" t="str">
        <f t="shared" si="424"/>
        <v>Twitter for iPhone</v>
      </c>
      <c r="L2175" s="14">
        <v>1221</v>
      </c>
      <c r="M2175" s="14">
        <v>102</v>
      </c>
      <c r="N2175" s="14">
        <v>29</v>
      </c>
      <c r="O2175" s="16"/>
      <c r="P2175" s="6">
        <v>40618.856006944443</v>
      </c>
      <c r="Q2175" s="12" t="s">
        <v>8336</v>
      </c>
      <c r="R2175" s="17" t="s">
        <v>8337</v>
      </c>
      <c r="S2175" s="11"/>
      <c r="T2175" s="11"/>
      <c r="U2175" s="10" t="str">
        <f>HYPERLINK("https://pbs.twimg.com/profile_images/1055512230295490560/BNgjz7q7.jpg","View")</f>
        <v>View</v>
      </c>
    </row>
    <row r="2176" spans="1:21" ht="102">
      <c r="A2176" s="6">
        <v>43438.722928240742</v>
      </c>
      <c r="B2176" s="7" t="str">
        <f>HYPERLINK("https://twitter.com/Pablo_Salias","@Pablo_Salias")</f>
        <v>@Pablo_Salias</v>
      </c>
      <c r="C2176" s="8" t="s">
        <v>7027</v>
      </c>
      <c r="D2176" s="9" t="s">
        <v>7028</v>
      </c>
      <c r="E2176" s="10" t="str">
        <f>HYPERLINK("https://twitter.com/Pablo_Salias/status/1069989965092646912","1069989965092646912")</f>
        <v>1069989965092646912</v>
      </c>
      <c r="F2176" s="12" t="s">
        <v>7029</v>
      </c>
      <c r="G2176" s="13" t="s">
        <v>7030</v>
      </c>
      <c r="H2176" s="11"/>
      <c r="I2176" s="14">
        <v>0</v>
      </c>
      <c r="J2176" s="14">
        <v>0</v>
      </c>
      <c r="K2176" s="15" t="str">
        <f t="shared" ref="K2176:K2177" si="425">HYPERLINK("http://twitter.com","Twitter Web Client")</f>
        <v>Twitter Web Client</v>
      </c>
      <c r="L2176" s="14">
        <v>1150</v>
      </c>
      <c r="M2176" s="14">
        <v>1122</v>
      </c>
      <c r="N2176" s="14">
        <v>13</v>
      </c>
      <c r="O2176" s="16"/>
      <c r="P2176" s="6">
        <v>40348.001689814817</v>
      </c>
      <c r="Q2176" s="12" t="s">
        <v>137</v>
      </c>
      <c r="R2176" s="17" t="s">
        <v>7032</v>
      </c>
      <c r="S2176" s="11"/>
      <c r="T2176" s="11"/>
      <c r="U2176" s="10" t="str">
        <f>HYPERLINK("https://pbs.twimg.com/profile_images/1008514819236872193/b63feMMO.jpg","View")</f>
        <v>View</v>
      </c>
    </row>
    <row r="2177" spans="1:21" ht="81.599999999999994">
      <c r="A2177" s="6">
        <v>43438.718136574069</v>
      </c>
      <c r="B2177" s="7" t="str">
        <f>HYPERLINK("https://twitter.com/MarIntroini","@MarIntroini")</f>
        <v>@MarIntroini</v>
      </c>
      <c r="C2177" s="8" t="s">
        <v>2889</v>
      </c>
      <c r="D2177" s="9" t="s">
        <v>7034</v>
      </c>
      <c r="E2177" s="10" t="str">
        <f>HYPERLINK("https://twitter.com/MarIntroini/status/1069988229447892992","1069988229447892992")</f>
        <v>1069988229447892992</v>
      </c>
      <c r="F2177" s="13" t="s">
        <v>7035</v>
      </c>
      <c r="G2177" s="11"/>
      <c r="H2177" s="11"/>
      <c r="I2177" s="14">
        <v>0</v>
      </c>
      <c r="J2177" s="14">
        <v>0</v>
      </c>
      <c r="K2177" s="15" t="str">
        <f t="shared" si="425"/>
        <v>Twitter Web Client</v>
      </c>
      <c r="L2177" s="14">
        <v>1724</v>
      </c>
      <c r="M2177" s="14">
        <v>554</v>
      </c>
      <c r="N2177" s="14">
        <v>138</v>
      </c>
      <c r="O2177" s="16"/>
      <c r="P2177" s="6">
        <v>42146.891689814816</v>
      </c>
      <c r="Q2177" s="12" t="s">
        <v>2895</v>
      </c>
      <c r="R2177" s="17" t="s">
        <v>2896</v>
      </c>
      <c r="S2177" s="13" t="s">
        <v>2897</v>
      </c>
      <c r="T2177" s="11"/>
      <c r="U2177" s="10" t="str">
        <f>HYPERLINK("https://pbs.twimg.com/profile_images/919845473971851265/A1XsYjzh.jpg","View")</f>
        <v>View</v>
      </c>
    </row>
    <row r="2178" spans="1:21" ht="40.799999999999997">
      <c r="A2178" s="6">
        <v>43438.717777777776</v>
      </c>
      <c r="B2178" s="7" t="str">
        <f>HYPERLINK("https://twitter.com/PseudoDubee","@PseudoDubee")</f>
        <v>@PseudoDubee</v>
      </c>
      <c r="C2178" s="8" t="s">
        <v>8338</v>
      </c>
      <c r="D2178" s="9" t="s">
        <v>8339</v>
      </c>
      <c r="E2178" s="10" t="str">
        <f>HYPERLINK("https://twitter.com/PseudoDubee/status/1069988098803679232","1069988098803679232")</f>
        <v>1069988098803679232</v>
      </c>
      <c r="F2178" s="11"/>
      <c r="G2178" s="11"/>
      <c r="H2178" s="11"/>
      <c r="I2178" s="14">
        <v>0</v>
      </c>
      <c r="J2178" s="14">
        <v>5</v>
      </c>
      <c r="K2178" s="15" t="str">
        <f t="shared" ref="K2178:K2180" si="426">HYPERLINK("http://twitter.com/download/android","Twitter for Android")</f>
        <v>Twitter for Android</v>
      </c>
      <c r="L2178" s="14">
        <v>275</v>
      </c>
      <c r="M2178" s="14">
        <v>592</v>
      </c>
      <c r="N2178" s="14">
        <v>0</v>
      </c>
      <c r="O2178" s="16"/>
      <c r="P2178" s="6">
        <v>43438.424710648149</v>
      </c>
      <c r="Q2178" s="11"/>
      <c r="R2178" s="17" t="s">
        <v>8340</v>
      </c>
      <c r="S2178" s="11"/>
      <c r="T2178" s="11"/>
      <c r="U2178" s="10" t="str">
        <f>HYPERLINK("https://pbs.twimg.com/profile_images/1069884263510749184/7mWKfHyx.jpg","View")</f>
        <v>View</v>
      </c>
    </row>
    <row r="2179" spans="1:21" ht="30.6">
      <c r="A2179" s="6">
        <v>43438.704247685186</v>
      </c>
      <c r="B2179" s="7" t="str">
        <f>HYPERLINK("https://twitter.com/mhalfpast","@mhalfpast")</f>
        <v>@mhalfpast</v>
      </c>
      <c r="C2179" s="8" t="s">
        <v>7036</v>
      </c>
      <c r="D2179" s="9" t="s">
        <v>7037</v>
      </c>
      <c r="E2179" s="10" t="str">
        <f>HYPERLINK("https://twitter.com/mhalfpast/status/1069983194097823745","1069983194097823745")</f>
        <v>1069983194097823745</v>
      </c>
      <c r="F2179" s="11"/>
      <c r="G2179" s="11"/>
      <c r="H2179" s="11"/>
      <c r="I2179" s="14">
        <v>0</v>
      </c>
      <c r="J2179" s="14">
        <v>0</v>
      </c>
      <c r="K2179" s="15" t="str">
        <f t="shared" si="426"/>
        <v>Twitter for Android</v>
      </c>
      <c r="L2179" s="14">
        <v>151</v>
      </c>
      <c r="M2179" s="14">
        <v>565</v>
      </c>
      <c r="N2179" s="14">
        <v>11</v>
      </c>
      <c r="O2179" s="16"/>
      <c r="P2179" s="6">
        <v>40636.912395833337</v>
      </c>
      <c r="Q2179" s="12" t="s">
        <v>295</v>
      </c>
      <c r="R2179" s="17" t="s">
        <v>7043</v>
      </c>
      <c r="S2179" s="11"/>
      <c r="T2179" s="11"/>
      <c r="U2179" s="10" t="str">
        <f>HYPERLINK("https://pbs.twimg.com/profile_images/1298749612/yo.JPG","View")</f>
        <v>View</v>
      </c>
    </row>
    <row r="2180" spans="1:21" ht="61.2">
      <c r="A2180" s="6">
        <v>43438.703738425931</v>
      </c>
      <c r="B2180" s="7" t="str">
        <f>HYPERLINK("https://twitter.com/tierra_los","@tierra_los")</f>
        <v>@tierra_los</v>
      </c>
      <c r="C2180" s="8" t="s">
        <v>2935</v>
      </c>
      <c r="D2180" s="9" t="s">
        <v>7045</v>
      </c>
      <c r="E2180" s="10" t="str">
        <f>HYPERLINK("https://twitter.com/tierra_los/status/1069983009296797696","1069983009296797696")</f>
        <v>1069983009296797696</v>
      </c>
      <c r="F2180" s="11"/>
      <c r="G2180" s="13" t="s">
        <v>7046</v>
      </c>
      <c r="H2180" s="11"/>
      <c r="I2180" s="14">
        <v>0</v>
      </c>
      <c r="J2180" s="14">
        <v>0</v>
      </c>
      <c r="K2180" s="15" t="str">
        <f t="shared" si="426"/>
        <v>Twitter for Android</v>
      </c>
      <c r="L2180" s="14">
        <v>29</v>
      </c>
      <c r="M2180" s="14">
        <v>95</v>
      </c>
      <c r="N2180" s="14">
        <v>0</v>
      </c>
      <c r="O2180" s="16"/>
      <c r="P2180" s="6">
        <v>43250.606956018513</v>
      </c>
      <c r="Q2180" s="11"/>
      <c r="R2180" s="17" t="s">
        <v>2940</v>
      </c>
      <c r="S2180" s="11"/>
      <c r="T2180" s="11"/>
      <c r="U2180" s="10" t="str">
        <f>HYPERLINK("https://pbs.twimg.com/profile_images/1007042885836042247/Vu_SsZtp.jpg","View")</f>
        <v>View</v>
      </c>
    </row>
    <row r="2181" spans="1:21" ht="51">
      <c r="A2181" s="6">
        <v>43438.701435185183</v>
      </c>
      <c r="B2181" s="7" t="str">
        <f>HYPERLINK("https://twitter.com/durolandia","@durolandia")</f>
        <v>@durolandia</v>
      </c>
      <c r="C2181" s="8" t="s">
        <v>8341</v>
      </c>
      <c r="D2181" s="9" t="s">
        <v>8342</v>
      </c>
      <c r="E2181" s="10" t="str">
        <f>HYPERLINK("https://twitter.com/durolandia/status/1069982174571577344","1069982174571577344")</f>
        <v>1069982174571577344</v>
      </c>
      <c r="F2181" s="13" t="s">
        <v>8343</v>
      </c>
      <c r="G2181" s="11"/>
      <c r="H2181" s="11"/>
      <c r="I2181" s="14">
        <v>57</v>
      </c>
      <c r="J2181" s="14">
        <v>40</v>
      </c>
      <c r="K2181" s="15" t="str">
        <f t="shared" ref="K2181:K2182" si="427">HYPERLINK("http://twitter.com","Twitter Web Client")</f>
        <v>Twitter Web Client</v>
      </c>
      <c r="L2181" s="14">
        <v>2110</v>
      </c>
      <c r="M2181" s="14">
        <v>3308</v>
      </c>
      <c r="N2181" s="14">
        <v>126</v>
      </c>
      <c r="O2181" s="16"/>
      <c r="P2181" s="6">
        <v>40821.086793981478</v>
      </c>
      <c r="Q2181" s="12" t="s">
        <v>1752</v>
      </c>
      <c r="R2181" s="17" t="s">
        <v>8344</v>
      </c>
      <c r="S2181" s="11"/>
      <c r="T2181" s="11"/>
      <c r="U2181" s="10" t="str">
        <f>HYPERLINK("https://pbs.twimg.com/profile_images/1070867283168374784/VvfMGlqm.jpg","View")</f>
        <v>View</v>
      </c>
    </row>
    <row r="2182" spans="1:21" ht="51">
      <c r="A2182" s="6">
        <v>43438.700659722221</v>
      </c>
      <c r="B2182" s="7" t="str">
        <f>HYPERLINK("https://twitter.com/IgnacioBRomero","@IgnacioBRomero")</f>
        <v>@IgnacioBRomero</v>
      </c>
      <c r="C2182" s="8" t="s">
        <v>8345</v>
      </c>
      <c r="D2182" s="9" t="s">
        <v>8346</v>
      </c>
      <c r="E2182" s="10" t="str">
        <f>HYPERLINK("https://twitter.com/IgnacioBRomero/status/1069981894274703360","1069981894274703360")</f>
        <v>1069981894274703360</v>
      </c>
      <c r="F2182" s="11"/>
      <c r="G2182" s="11"/>
      <c r="H2182" s="11"/>
      <c r="I2182" s="14">
        <v>0</v>
      </c>
      <c r="J2182" s="14">
        <v>1</v>
      </c>
      <c r="K2182" s="15" t="str">
        <f t="shared" si="427"/>
        <v>Twitter Web Client</v>
      </c>
      <c r="L2182" s="14">
        <v>49</v>
      </c>
      <c r="M2182" s="14">
        <v>62</v>
      </c>
      <c r="N2182" s="14">
        <v>0</v>
      </c>
      <c r="O2182" s="16"/>
      <c r="P2182" s="6">
        <v>40857.775543981479</v>
      </c>
      <c r="Q2182" s="12" t="s">
        <v>137</v>
      </c>
      <c r="R2182" s="17" t="s">
        <v>8347</v>
      </c>
      <c r="S2182" s="13" t="s">
        <v>8348</v>
      </c>
      <c r="T2182" s="11"/>
      <c r="U2182" s="10" t="str">
        <f>HYPERLINK("https://pbs.twimg.com/profile_images/1632338076/cachorros-lince__1_.jpg","View")</f>
        <v>View</v>
      </c>
    </row>
    <row r="2183" spans="1:21" ht="40.799999999999997">
      <c r="A2183" s="6">
        <v>43438.699050925927</v>
      </c>
      <c r="B2183" s="7" t="str">
        <f>HYPERLINK("https://twitter.com/publikaccion","@publikaccion")</f>
        <v>@publikaccion</v>
      </c>
      <c r="C2183" s="8" t="s">
        <v>7047</v>
      </c>
      <c r="D2183" s="9" t="s">
        <v>7048</v>
      </c>
      <c r="E2183" s="10" t="str">
        <f>HYPERLINK("https://twitter.com/publikaccion/status/1069981312247889921","1069981312247889921")</f>
        <v>1069981312247889921</v>
      </c>
      <c r="F2183" s="11"/>
      <c r="G2183" s="11"/>
      <c r="H2183" s="11"/>
      <c r="I2183" s="14">
        <v>0</v>
      </c>
      <c r="J2183" s="14">
        <v>0</v>
      </c>
      <c r="K2183" s="15" t="str">
        <f>HYPERLINK("https://mobile.twitter.com","Twitter Lite")</f>
        <v>Twitter Lite</v>
      </c>
      <c r="L2183" s="14">
        <v>3433</v>
      </c>
      <c r="M2183" s="14">
        <v>1179</v>
      </c>
      <c r="N2183" s="14">
        <v>433</v>
      </c>
      <c r="O2183" s="16"/>
      <c r="P2183" s="6">
        <v>39375.492650462962</v>
      </c>
      <c r="Q2183" s="12" t="s">
        <v>7049</v>
      </c>
      <c r="R2183" s="17" t="s">
        <v>7050</v>
      </c>
      <c r="S2183" s="13" t="s">
        <v>7051</v>
      </c>
      <c r="T2183" s="11"/>
      <c r="U2183" s="10" t="str">
        <f>HYPERLINK("https://pbs.twimg.com/profile_images/530355157674905601/PkEJ7SR8.png","View")</f>
        <v>View</v>
      </c>
    </row>
    <row r="2184" spans="1:21" ht="71.400000000000006">
      <c r="A2184" s="6">
        <v>43438.698298611111</v>
      </c>
      <c r="B2184" s="7" t="str">
        <f>HYPERLINK("https://twitter.com/AdriStickman","@AdriStickman")</f>
        <v>@AdriStickman</v>
      </c>
      <c r="C2184" s="8" t="s">
        <v>7056</v>
      </c>
      <c r="D2184" s="9" t="s">
        <v>7057</v>
      </c>
      <c r="E2184" s="10" t="str">
        <f>HYPERLINK("https://twitter.com/AdriStickman/status/1069981038749802506","1069981038749802506")</f>
        <v>1069981038749802506</v>
      </c>
      <c r="F2184" s="12" t="s">
        <v>7060</v>
      </c>
      <c r="G2184" s="11"/>
      <c r="H2184" s="11"/>
      <c r="I2184" s="14">
        <v>0</v>
      </c>
      <c r="J2184" s="14">
        <v>0</v>
      </c>
      <c r="K2184" s="15" t="str">
        <f>HYPERLINK("http://twitter.com","Twitter Web Client")</f>
        <v>Twitter Web Client</v>
      </c>
      <c r="L2184" s="14">
        <v>304</v>
      </c>
      <c r="M2184" s="14">
        <v>318</v>
      </c>
      <c r="N2184" s="14">
        <v>25</v>
      </c>
      <c r="O2184" s="16"/>
      <c r="P2184" s="6">
        <v>40498.488819444443</v>
      </c>
      <c r="Q2184" s="12" t="s">
        <v>7062</v>
      </c>
      <c r="R2184" s="17" t="s">
        <v>7063</v>
      </c>
      <c r="S2184" s="13" t="s">
        <v>7064</v>
      </c>
      <c r="T2184" s="11"/>
      <c r="U2184" s="10" t="str">
        <f>HYPERLINK("https://pbs.twimg.com/profile_images/1029424149993799681/N6kzp-vs.jpg","View")</f>
        <v>View</v>
      </c>
    </row>
    <row r="2185" spans="1:21" ht="40.799999999999997">
      <c r="A2185" s="6">
        <v>43438.697638888887</v>
      </c>
      <c r="B2185" s="7" t="str">
        <f t="shared" ref="B2185:B2186" si="428">HYPERLINK("https://twitter.com/el_magom","@el_magom")</f>
        <v>@el_magom</v>
      </c>
      <c r="C2185" s="8" t="s">
        <v>7065</v>
      </c>
      <c r="D2185" s="9" t="s">
        <v>7066</v>
      </c>
      <c r="E2185" s="10" t="str">
        <f>HYPERLINK("https://twitter.com/el_magom/status/1069980800702144513","1069980800702144513")</f>
        <v>1069980800702144513</v>
      </c>
      <c r="F2185" s="11"/>
      <c r="G2185" s="11"/>
      <c r="H2185" s="11"/>
      <c r="I2185" s="14">
        <v>1</v>
      </c>
      <c r="J2185" s="14">
        <v>0</v>
      </c>
      <c r="K2185" s="15" t="str">
        <f t="shared" ref="K2185:K2186" si="429">HYPERLINK("https://mobile.twitter.com","Twitter Lite")</f>
        <v>Twitter Lite</v>
      </c>
      <c r="L2185" s="14">
        <v>312</v>
      </c>
      <c r="M2185" s="14">
        <v>212</v>
      </c>
      <c r="N2185" s="14">
        <v>8</v>
      </c>
      <c r="O2185" s="16"/>
      <c r="P2185" s="6">
        <v>40627.421435185184</v>
      </c>
      <c r="Q2185" s="11"/>
      <c r="R2185" s="17" t="s">
        <v>7067</v>
      </c>
      <c r="S2185" s="11"/>
      <c r="T2185" s="11"/>
      <c r="U2185" s="10" t="str">
        <f t="shared" ref="U2185:U2186" si="430">HYPERLINK("https://pbs.twimg.com/profile_images/755676531431710720/v59GoB9E.jpg","View")</f>
        <v>View</v>
      </c>
    </row>
    <row r="2186" spans="1:21" ht="40.799999999999997">
      <c r="A2186" s="6">
        <v>43438.695532407408</v>
      </c>
      <c r="B2186" s="7" t="str">
        <f t="shared" si="428"/>
        <v>@el_magom</v>
      </c>
      <c r="C2186" s="8" t="s">
        <v>7065</v>
      </c>
      <c r="D2186" s="9" t="s">
        <v>7068</v>
      </c>
      <c r="E2186" s="10" t="str">
        <f>HYPERLINK("https://twitter.com/el_magom/status/1069980036722237440","1069980036722237440")</f>
        <v>1069980036722237440</v>
      </c>
      <c r="F2186" s="11"/>
      <c r="G2186" s="11"/>
      <c r="H2186" s="11"/>
      <c r="I2186" s="14">
        <v>0</v>
      </c>
      <c r="J2186" s="14">
        <v>1</v>
      </c>
      <c r="K2186" s="15" t="str">
        <f t="shared" si="429"/>
        <v>Twitter Lite</v>
      </c>
      <c r="L2186" s="14">
        <v>312</v>
      </c>
      <c r="M2186" s="14">
        <v>212</v>
      </c>
      <c r="N2186" s="14">
        <v>8</v>
      </c>
      <c r="O2186" s="16"/>
      <c r="P2186" s="6">
        <v>40627.421435185184</v>
      </c>
      <c r="Q2186" s="11"/>
      <c r="R2186" s="17" t="s">
        <v>7067</v>
      </c>
      <c r="S2186" s="11"/>
      <c r="T2186" s="11"/>
      <c r="U2186" s="10" t="str">
        <f t="shared" si="430"/>
        <v>View</v>
      </c>
    </row>
    <row r="2187" spans="1:21" ht="40.799999999999997">
      <c r="A2187" s="6">
        <v>43438.69395833333</v>
      </c>
      <c r="B2187" s="7" t="str">
        <f>HYPERLINK("https://twitter.com/Xuxatronnn","@Xuxatronnn")</f>
        <v>@Xuxatronnn</v>
      </c>
      <c r="C2187" s="8" t="s">
        <v>8349</v>
      </c>
      <c r="D2187" s="9" t="s">
        <v>8350</v>
      </c>
      <c r="E2187" s="10" t="str">
        <f>HYPERLINK("https://twitter.com/Xuxatronnn/status/1069979465617498112","1069979465617498112")</f>
        <v>1069979465617498112</v>
      </c>
      <c r="F2187" s="11"/>
      <c r="G2187" s="11"/>
      <c r="H2187" s="11"/>
      <c r="I2187" s="14">
        <v>2</v>
      </c>
      <c r="J2187" s="14">
        <v>4</v>
      </c>
      <c r="K2187" s="15" t="str">
        <f t="shared" ref="K2187:K2188" si="431">HYPERLINK("http://twitter.com/download/android","Twitter for Android")</f>
        <v>Twitter for Android</v>
      </c>
      <c r="L2187" s="14">
        <v>971</v>
      </c>
      <c r="M2187" s="14">
        <v>918</v>
      </c>
      <c r="N2187" s="14">
        <v>10</v>
      </c>
      <c r="O2187" s="16"/>
      <c r="P2187" s="6">
        <v>42490.89707175926</v>
      </c>
      <c r="Q2187" s="11"/>
      <c r="R2187" s="17" t="s">
        <v>8351</v>
      </c>
      <c r="S2187" s="11"/>
      <c r="T2187" s="11"/>
      <c r="U2187" s="10" t="str">
        <f>HYPERLINK("https://pbs.twimg.com/profile_images/914584332815224835/YbW49TKK.jpg","View")</f>
        <v>View</v>
      </c>
    </row>
    <row r="2188" spans="1:21" ht="61.2">
      <c r="A2188" s="6">
        <v>43438.692905092597</v>
      </c>
      <c r="B2188" s="7" t="str">
        <f>HYPERLINK("https://twitter.com/LudopataR","@LudopataR")</f>
        <v>@LudopataR</v>
      </c>
      <c r="C2188" s="8" t="s">
        <v>7072</v>
      </c>
      <c r="D2188" s="9" t="s">
        <v>7073</v>
      </c>
      <c r="E2188" s="10" t="str">
        <f>HYPERLINK("https://twitter.com/LudopataR/status/1069979081897361413","1069979081897361413")</f>
        <v>1069979081897361413</v>
      </c>
      <c r="F2188" s="11"/>
      <c r="G2188" s="11"/>
      <c r="H2188" s="11"/>
      <c r="I2188" s="14">
        <v>3</v>
      </c>
      <c r="J2188" s="14">
        <v>4</v>
      </c>
      <c r="K2188" s="15" t="str">
        <f t="shared" si="431"/>
        <v>Twitter for Android</v>
      </c>
      <c r="L2188" s="14">
        <v>192</v>
      </c>
      <c r="M2188" s="14">
        <v>41</v>
      </c>
      <c r="N2188" s="14">
        <v>0</v>
      </c>
      <c r="O2188" s="16"/>
      <c r="P2188" s="6">
        <v>43363.551261574074</v>
      </c>
      <c r="Q2188" s="12" t="s">
        <v>887</v>
      </c>
      <c r="R2188" s="17" t="s">
        <v>7074</v>
      </c>
      <c r="S2188" s="11"/>
      <c r="T2188" s="11"/>
      <c r="U2188" s="10" t="str">
        <f>HYPERLINK("https://pbs.twimg.com/profile_images/1042735051883077632/7ffFgELT.jpg","View")</f>
        <v>View</v>
      </c>
    </row>
    <row r="2189" spans="1:21" ht="51">
      <c r="A2189" s="6">
        <v>43438.690787037034</v>
      </c>
      <c r="B2189" s="7" t="str">
        <f>HYPERLINK("https://twitter.com/vox_vota","@vox_vota")</f>
        <v>@vox_vota</v>
      </c>
      <c r="C2189" s="8" t="s">
        <v>7078</v>
      </c>
      <c r="D2189" s="9" t="s">
        <v>7079</v>
      </c>
      <c r="E2189" s="10" t="str">
        <f>HYPERLINK("https://twitter.com/vox_vota/status/1069978315501510662","1069978315501510662")</f>
        <v>1069978315501510662</v>
      </c>
      <c r="F2189" s="11"/>
      <c r="G2189" s="11"/>
      <c r="H2189" s="11"/>
      <c r="I2189" s="14">
        <v>0</v>
      </c>
      <c r="J2189" s="14">
        <v>1</v>
      </c>
      <c r="K2189" s="15" t="str">
        <f>HYPERLINK("http://twitter.com/download/iphone","Twitter for iPhone")</f>
        <v>Twitter for iPhone</v>
      </c>
      <c r="L2189" s="14">
        <v>1106</v>
      </c>
      <c r="M2189" s="14">
        <v>348</v>
      </c>
      <c r="N2189" s="14">
        <v>24</v>
      </c>
      <c r="O2189" s="16"/>
      <c r="P2189" s="6">
        <v>42390.786990740744</v>
      </c>
      <c r="Q2189" s="12" t="s">
        <v>231</v>
      </c>
      <c r="R2189" s="17" t="s">
        <v>7080</v>
      </c>
      <c r="S2189" s="11"/>
      <c r="T2189" s="11"/>
      <c r="U2189" s="10" t="str">
        <f>HYPERLINK("https://pbs.twimg.com/profile_images/1064649033933864961/yLorZbPr.jpg","View")</f>
        <v>View</v>
      </c>
    </row>
    <row r="2190" spans="1:21" ht="30.6">
      <c r="A2190" s="6">
        <v>43438.690462962964</v>
      </c>
      <c r="B2190" s="7" t="str">
        <f>HYPERLINK("https://twitter.com/lahijadeaugusto","@lahijadeaugusto")</f>
        <v>@lahijadeaugusto</v>
      </c>
      <c r="C2190" s="8" t="s">
        <v>8352</v>
      </c>
      <c r="D2190" s="9" t="s">
        <v>8353</v>
      </c>
      <c r="E2190" s="10" t="str">
        <f>HYPERLINK("https://twitter.com/lahijadeaugusto/status/1069978199797497861","1069978199797497861")</f>
        <v>1069978199797497861</v>
      </c>
      <c r="F2190" s="11"/>
      <c r="G2190" s="11"/>
      <c r="H2190" s="11"/>
      <c r="I2190" s="14">
        <v>3</v>
      </c>
      <c r="J2190" s="14">
        <v>4</v>
      </c>
      <c r="K2190" s="15" t="str">
        <f>HYPERLINK("http://twitter.com/download/android","Twitter for Android")</f>
        <v>Twitter for Android</v>
      </c>
      <c r="L2190" s="14">
        <v>2462</v>
      </c>
      <c r="M2190" s="14">
        <v>1777</v>
      </c>
      <c r="N2190" s="14">
        <v>47</v>
      </c>
      <c r="O2190" s="16"/>
      <c r="P2190" s="6">
        <v>40605.795381944445</v>
      </c>
      <c r="Q2190" s="12" t="s">
        <v>60</v>
      </c>
      <c r="R2190" s="17" t="s">
        <v>8354</v>
      </c>
      <c r="S2190" s="13" t="s">
        <v>8355</v>
      </c>
      <c r="T2190" s="11"/>
      <c r="U2190" s="10" t="str">
        <f>HYPERLINK("https://pbs.twimg.com/profile_images/942323340487856128/fYFTi8pj.jpg","View")</f>
        <v>View</v>
      </c>
    </row>
    <row r="2191" spans="1:21" ht="20.399999999999999">
      <c r="A2191" s="6">
        <v>43438.688194444447</v>
      </c>
      <c r="B2191" s="7" t="str">
        <f>HYPERLINK("https://twitter.com/cronicaglobal","@cronicaglobal")</f>
        <v>@cronicaglobal</v>
      </c>
      <c r="C2191" s="8" t="s">
        <v>5420</v>
      </c>
      <c r="D2191" s="9" t="s">
        <v>8356</v>
      </c>
      <c r="E2191" s="10" t="str">
        <f>HYPERLINK("https://twitter.com/cronicaglobal/status/1069977376438845446","1069977376438845446")</f>
        <v>1069977376438845446</v>
      </c>
      <c r="F2191" s="13" t="s">
        <v>8357</v>
      </c>
      <c r="G2191" s="11"/>
      <c r="H2191" s="11"/>
      <c r="I2191" s="14">
        <v>2</v>
      </c>
      <c r="J2191" s="14">
        <v>2</v>
      </c>
      <c r="K2191" s="15" t="str">
        <f>HYPERLINK("https://about.twitter.com/products/tweetdeck","TweetDeck")</f>
        <v>TweetDeck</v>
      </c>
      <c r="L2191" s="14">
        <v>31070</v>
      </c>
      <c r="M2191" s="14">
        <v>12168</v>
      </c>
      <c r="N2191" s="14">
        <v>742</v>
      </c>
      <c r="O2191" s="19" t="s">
        <v>42</v>
      </c>
      <c r="P2191" s="6">
        <v>40095.536770833336</v>
      </c>
      <c r="Q2191" s="12" t="s">
        <v>83</v>
      </c>
      <c r="R2191" s="17" t="s">
        <v>5426</v>
      </c>
      <c r="S2191" s="13" t="s">
        <v>5427</v>
      </c>
      <c r="T2191" s="11"/>
      <c r="U2191" s="10" t="str">
        <f>HYPERLINK("https://pbs.twimg.com/profile_images/950307027389165573/hJwYO6Bw.jpg","View")</f>
        <v>View</v>
      </c>
    </row>
    <row r="2192" spans="1:21" ht="91.8">
      <c r="A2192" s="6">
        <v>43438.686782407407</v>
      </c>
      <c r="B2192" s="7" t="str">
        <f>HYPERLINK("https://twitter.com/maracristbal","@maracristbal")</f>
        <v>@maracristbal</v>
      </c>
      <c r="C2192" s="8" t="s">
        <v>6690</v>
      </c>
      <c r="D2192" s="9" t="s">
        <v>7085</v>
      </c>
      <c r="E2192" s="10" t="str">
        <f>HYPERLINK("https://twitter.com/maracristbal/status/1069976863206969344","1069976863206969344")</f>
        <v>1069976863206969344</v>
      </c>
      <c r="F2192" s="12" t="s">
        <v>7086</v>
      </c>
      <c r="G2192" s="11"/>
      <c r="H2192" s="11"/>
      <c r="I2192" s="14">
        <v>0</v>
      </c>
      <c r="J2192" s="14">
        <v>0</v>
      </c>
      <c r="K2192" s="15" t="str">
        <f t="shared" ref="K2192:K2194" si="432">HYPERLINK("http://twitter.com/download/android","Twitter for Android")</f>
        <v>Twitter for Android</v>
      </c>
      <c r="L2192" s="14">
        <v>662</v>
      </c>
      <c r="M2192" s="14">
        <v>1418</v>
      </c>
      <c r="N2192" s="14">
        <v>14</v>
      </c>
      <c r="O2192" s="16"/>
      <c r="P2192" s="6">
        <v>41348.720983796295</v>
      </c>
      <c r="Q2192" s="11"/>
      <c r="R2192" s="18"/>
      <c r="S2192" s="11"/>
      <c r="T2192" s="11"/>
      <c r="U2192" s="10" t="str">
        <f>HYPERLINK("https://pbs.twimg.com/profile_images/378800000695109914/73a1d52936fc312ea086fd6a8390c2b4.jpeg","View")</f>
        <v>View</v>
      </c>
    </row>
    <row r="2193" spans="1:21" ht="61.2">
      <c r="A2193" s="6">
        <v>43438.685624999998</v>
      </c>
      <c r="B2193" s="7" t="str">
        <f>HYPERLINK("https://twitter.com/Pablito_Pablera","@Pablito_Pablera")</f>
        <v>@Pablito_Pablera</v>
      </c>
      <c r="C2193" s="8" t="s">
        <v>7087</v>
      </c>
      <c r="D2193" s="9" t="s">
        <v>7088</v>
      </c>
      <c r="E2193" s="10" t="str">
        <f>HYPERLINK("https://twitter.com/Pablito_Pablera/status/1069976445743706113","1069976445743706113")</f>
        <v>1069976445743706113</v>
      </c>
      <c r="F2193" s="13" t="s">
        <v>7089</v>
      </c>
      <c r="G2193" s="13" t="s">
        <v>7090</v>
      </c>
      <c r="H2193" s="11"/>
      <c r="I2193" s="14">
        <v>0</v>
      </c>
      <c r="J2193" s="14">
        <v>0</v>
      </c>
      <c r="K2193" s="15" t="str">
        <f t="shared" si="432"/>
        <v>Twitter for Android</v>
      </c>
      <c r="L2193" s="14">
        <v>502</v>
      </c>
      <c r="M2193" s="14">
        <v>647</v>
      </c>
      <c r="N2193" s="14">
        <v>4</v>
      </c>
      <c r="O2193" s="16"/>
      <c r="P2193" s="6">
        <v>42705.75608796296</v>
      </c>
      <c r="Q2193" s="12" t="s">
        <v>137</v>
      </c>
      <c r="R2193" s="17" t="s">
        <v>7091</v>
      </c>
      <c r="S2193" s="11"/>
      <c r="T2193" s="11"/>
      <c r="U2193" s="10" t="str">
        <f>HYPERLINK("https://pbs.twimg.com/profile_images/919922301767954432/OemcINBC.jpg","View")</f>
        <v>View</v>
      </c>
    </row>
    <row r="2194" spans="1:21" ht="30.6">
      <c r="A2194" s="6">
        <v>43438.684537037036</v>
      </c>
      <c r="B2194" s="7" t="str">
        <f>HYPERLINK("https://twitter.com/BenderOfuscado","@BenderOfuscado")</f>
        <v>@BenderOfuscado</v>
      </c>
      <c r="C2194" s="8" t="s">
        <v>6183</v>
      </c>
      <c r="D2194" s="9" t="s">
        <v>8358</v>
      </c>
      <c r="E2194" s="10" t="str">
        <f>HYPERLINK("https://twitter.com/BenderOfuscado/status/1069976052208930816","1069976052208930816")</f>
        <v>1069976052208930816</v>
      </c>
      <c r="F2194" s="11"/>
      <c r="G2194" s="11"/>
      <c r="H2194" s="11"/>
      <c r="I2194" s="14">
        <v>1</v>
      </c>
      <c r="J2194" s="14">
        <v>3</v>
      </c>
      <c r="K2194" s="15" t="str">
        <f t="shared" si="432"/>
        <v>Twitter for Android</v>
      </c>
      <c r="L2194" s="14">
        <v>399</v>
      </c>
      <c r="M2194" s="14">
        <v>119</v>
      </c>
      <c r="N2194" s="14">
        <v>3</v>
      </c>
      <c r="O2194" s="16"/>
      <c r="P2194" s="6">
        <v>43024.934791666667</v>
      </c>
      <c r="Q2194" s="11"/>
      <c r="R2194" s="17" t="s">
        <v>6187</v>
      </c>
      <c r="S2194" s="11"/>
      <c r="T2194" s="11"/>
      <c r="U2194" s="10" t="str">
        <f>HYPERLINK("https://pbs.twimg.com/profile_images/1032296142674055169/HJToDVsj.jpg","View")</f>
        <v>View</v>
      </c>
    </row>
    <row r="2195" spans="1:21" ht="30.6">
      <c r="A2195" s="6">
        <v>43438.684340277774</v>
      </c>
      <c r="B2195" s="7" t="str">
        <f>HYPERLINK("https://twitter.com/Bassel2426","@Bassel2426")</f>
        <v>@Bassel2426</v>
      </c>
      <c r="C2195" s="8" t="s">
        <v>8359</v>
      </c>
      <c r="D2195" s="9" t="s">
        <v>5246</v>
      </c>
      <c r="E2195" s="10" t="str">
        <f>HYPERLINK("https://twitter.com/Bassel2426/status/1069975978934501376","1069975978934501376")</f>
        <v>1069975978934501376</v>
      </c>
      <c r="F2195" s="11"/>
      <c r="G2195" s="11"/>
      <c r="H2195" s="11"/>
      <c r="I2195" s="14">
        <v>3</v>
      </c>
      <c r="J2195" s="14">
        <v>9</v>
      </c>
      <c r="K2195" s="15" t="str">
        <f>HYPERLINK("http://twitter.com/download/iphone","Twitter for iPhone")</f>
        <v>Twitter for iPhone</v>
      </c>
      <c r="L2195" s="14">
        <v>5087</v>
      </c>
      <c r="M2195" s="14">
        <v>1621</v>
      </c>
      <c r="N2195" s="14">
        <v>35</v>
      </c>
      <c r="O2195" s="16"/>
      <c r="P2195" s="6">
        <v>42503.686620370368</v>
      </c>
      <c r="Q2195" s="12" t="s">
        <v>961</v>
      </c>
      <c r="R2195" s="17" t="s">
        <v>8360</v>
      </c>
      <c r="S2195" s="11"/>
      <c r="T2195" s="11"/>
      <c r="U2195" s="10" t="str">
        <f>HYPERLINK("https://pbs.twimg.com/profile_images/991631132545421312/9ni8uZhU.jpg","View")</f>
        <v>View</v>
      </c>
    </row>
    <row r="2196" spans="1:21" ht="81.599999999999994">
      <c r="A2196" s="6">
        <v>43438.683252314819</v>
      </c>
      <c r="B2196" s="7" t="str">
        <f>HYPERLINK("https://twitter.com/Edonatel0","@Edonatel0")</f>
        <v>@Edonatel0</v>
      </c>
      <c r="C2196" s="8" t="s">
        <v>7093</v>
      </c>
      <c r="D2196" s="9" t="s">
        <v>7094</v>
      </c>
      <c r="E2196" s="10" t="str">
        <f>HYPERLINK("https://twitter.com/Edonatel0/status/1069975587161292800","1069975587161292800")</f>
        <v>1069975587161292800</v>
      </c>
      <c r="F2196" s="13" t="s">
        <v>7098</v>
      </c>
      <c r="G2196" s="13" t="s">
        <v>7099</v>
      </c>
      <c r="H2196" s="11"/>
      <c r="I2196" s="14">
        <v>0</v>
      </c>
      <c r="J2196" s="14">
        <v>0</v>
      </c>
      <c r="K2196" s="15" t="str">
        <f>HYPERLINK("http://twitter.com/download/android","Twitter for Android")</f>
        <v>Twitter for Android</v>
      </c>
      <c r="L2196" s="14">
        <v>306</v>
      </c>
      <c r="M2196" s="14">
        <v>474</v>
      </c>
      <c r="N2196" s="14">
        <v>2</v>
      </c>
      <c r="O2196" s="16"/>
      <c r="P2196" s="6">
        <v>42892.46125</v>
      </c>
      <c r="Q2196" s="12" t="s">
        <v>7100</v>
      </c>
      <c r="R2196" s="17" t="s">
        <v>7101</v>
      </c>
      <c r="S2196" s="11"/>
      <c r="T2196" s="11"/>
      <c r="U2196" s="10" t="str">
        <f>HYPERLINK("https://pbs.twimg.com/profile_images/872018416856690688/GzqTBnXc.jpg","View")</f>
        <v>View</v>
      </c>
    </row>
    <row r="2197" spans="1:21" ht="40.799999999999997">
      <c r="A2197" s="6">
        <v>43438.681643518517</v>
      </c>
      <c r="B2197" s="7" t="str">
        <f>HYPERLINK("https://twitter.com/El_Espartero","@El_Espartero")</f>
        <v>@El_Espartero</v>
      </c>
      <c r="C2197" s="8" t="s">
        <v>7102</v>
      </c>
      <c r="D2197" s="9" t="s">
        <v>7103</v>
      </c>
      <c r="E2197" s="10" t="str">
        <f>HYPERLINK("https://twitter.com/El_Espartero/status/1069975003574218752","1069975003574218752")</f>
        <v>1069975003574218752</v>
      </c>
      <c r="F2197" s="13" t="s">
        <v>7106</v>
      </c>
      <c r="G2197" s="11"/>
      <c r="H2197" s="11"/>
      <c r="I2197" s="14">
        <v>0</v>
      </c>
      <c r="J2197" s="14">
        <v>2</v>
      </c>
      <c r="K2197" s="15" t="str">
        <f>HYPERLINK("http://twitter.com","Twitter Web Client")</f>
        <v>Twitter Web Client</v>
      </c>
      <c r="L2197" s="14">
        <v>86</v>
      </c>
      <c r="M2197" s="14">
        <v>141</v>
      </c>
      <c r="N2197" s="14">
        <v>1</v>
      </c>
      <c r="O2197" s="16"/>
      <c r="P2197" s="6">
        <v>40959.625462962962</v>
      </c>
      <c r="Q2197" s="11"/>
      <c r="R2197" s="17" t="s">
        <v>7108</v>
      </c>
      <c r="S2197" s="11"/>
      <c r="T2197" s="11"/>
      <c r="U2197" s="10" t="str">
        <f>HYPERLINK("https://pbs.twimg.com/profile_images/1842956434/El_Espartero.JPG","View")</f>
        <v>View</v>
      </c>
    </row>
    <row r="2198" spans="1:21" ht="13.2">
      <c r="A2198" s="6">
        <v>43438.679282407407</v>
      </c>
      <c r="B2198" s="7" t="str">
        <f>HYPERLINK("https://twitter.com/HeisenbergAmI","@HeisenbergAmI")</f>
        <v>@HeisenbergAmI</v>
      </c>
      <c r="C2198" s="8" t="s">
        <v>8361</v>
      </c>
      <c r="D2198" s="9" t="s">
        <v>8362</v>
      </c>
      <c r="E2198" s="10" t="str">
        <f>HYPERLINK("https://twitter.com/HeisenbergAmI/status/1069974146002677760","1069974146002677760")</f>
        <v>1069974146002677760</v>
      </c>
      <c r="F2198" s="11"/>
      <c r="G2198" s="11"/>
      <c r="H2198" s="11"/>
      <c r="I2198" s="14">
        <v>0</v>
      </c>
      <c r="J2198" s="14">
        <v>0</v>
      </c>
      <c r="K2198" s="15" t="str">
        <f t="shared" ref="K2198:K2200" si="433">HYPERLINK("http://twitter.com/download/android","Twitter for Android")</f>
        <v>Twitter for Android</v>
      </c>
      <c r="L2198" s="14">
        <v>170</v>
      </c>
      <c r="M2198" s="14">
        <v>574</v>
      </c>
      <c r="N2198" s="14">
        <v>4</v>
      </c>
      <c r="O2198" s="16"/>
      <c r="P2198" s="6">
        <v>40050.006585648152</v>
      </c>
      <c r="Q2198" s="12" t="s">
        <v>8363</v>
      </c>
      <c r="R2198" s="17" t="s">
        <v>8364</v>
      </c>
      <c r="S2198" s="13" t="s">
        <v>8365</v>
      </c>
      <c r="T2198" s="11"/>
      <c r="U2198" s="10" t="str">
        <f>HYPERLINK("https://pbs.twimg.com/profile_images/610857260009582592/bvvRME7_.jpg","View")</f>
        <v>View</v>
      </c>
    </row>
    <row r="2199" spans="1:21" ht="51">
      <c r="A2199" s="6">
        <v>43438.674687499995</v>
      </c>
      <c r="B2199" s="7" t="str">
        <f>HYPERLINK("https://twitter.com/rconcas60","@rconcas60")</f>
        <v>@rconcas60</v>
      </c>
      <c r="C2199" s="8" t="s">
        <v>7112</v>
      </c>
      <c r="D2199" s="9" t="s">
        <v>7113</v>
      </c>
      <c r="E2199" s="10" t="str">
        <f>HYPERLINK("https://twitter.com/rconcas60/status/1069972482805981184","1069972482805981184")</f>
        <v>1069972482805981184</v>
      </c>
      <c r="F2199" s="13" t="s">
        <v>7116</v>
      </c>
      <c r="G2199" s="11"/>
      <c r="H2199" s="11"/>
      <c r="I2199" s="14">
        <v>81</v>
      </c>
      <c r="J2199" s="14">
        <v>69</v>
      </c>
      <c r="K2199" s="15" t="str">
        <f t="shared" si="433"/>
        <v>Twitter for Android</v>
      </c>
      <c r="L2199" s="14">
        <v>3788</v>
      </c>
      <c r="M2199" s="14">
        <v>2993</v>
      </c>
      <c r="N2199" s="14">
        <v>34</v>
      </c>
      <c r="O2199" s="16"/>
      <c r="P2199" s="6">
        <v>41555.479710648149</v>
      </c>
      <c r="Q2199" s="11"/>
      <c r="R2199" s="18"/>
      <c r="S2199" s="11"/>
      <c r="T2199" s="11"/>
      <c r="U2199" s="10" t="str">
        <f>HYPERLINK("https://pbs.twimg.com/profile_images/1058089470757609472/_GhH6Wwy.jpg","View")</f>
        <v>View</v>
      </c>
    </row>
    <row r="2200" spans="1:21" ht="51">
      <c r="A2200" s="6">
        <v>43438.671689814815</v>
      </c>
      <c r="B2200" s="7" t="str">
        <f>HYPERLINK("https://twitter.com/Becky130777","@Becky130777")</f>
        <v>@Becky130777</v>
      </c>
      <c r="C2200" s="8" t="s">
        <v>7117</v>
      </c>
      <c r="D2200" s="9" t="s">
        <v>7118</v>
      </c>
      <c r="E2200" s="10" t="str">
        <f>HYPERLINK("https://twitter.com/Becky130777/status/1069971394107244544","1069971394107244544")</f>
        <v>1069971394107244544</v>
      </c>
      <c r="F2200" s="13" t="s">
        <v>7119</v>
      </c>
      <c r="G2200" s="11"/>
      <c r="H2200" s="11"/>
      <c r="I2200" s="14">
        <v>0</v>
      </c>
      <c r="J2200" s="14">
        <v>1</v>
      </c>
      <c r="K2200" s="15" t="str">
        <f t="shared" si="433"/>
        <v>Twitter for Android</v>
      </c>
      <c r="L2200" s="14">
        <v>134</v>
      </c>
      <c r="M2200" s="14">
        <v>110</v>
      </c>
      <c r="N2200" s="14">
        <v>0</v>
      </c>
      <c r="O2200" s="16"/>
      <c r="P2200" s="6">
        <v>43394.472662037035</v>
      </c>
      <c r="Q2200" s="11"/>
      <c r="R2200" s="17" t="s">
        <v>7121</v>
      </c>
      <c r="S2200" s="11"/>
      <c r="T2200" s="11"/>
      <c r="U2200" s="10" t="str">
        <f>HYPERLINK("https://pbs.twimg.com/profile_images/1070801950797692930/wQUx-Zko.jpg","View")</f>
        <v>View</v>
      </c>
    </row>
    <row r="2201" spans="1:21" ht="30.6">
      <c r="A2201" s="6">
        <v>43438.669699074075</v>
      </c>
      <c r="B2201" s="7" t="str">
        <f>HYPERLINK("https://twitter.com/miquinta1","@miquinta1")</f>
        <v>@miquinta1</v>
      </c>
      <c r="C2201" s="8" t="s">
        <v>8366</v>
      </c>
      <c r="D2201" s="9" t="s">
        <v>8367</v>
      </c>
      <c r="E2201" s="10" t="str">
        <f>HYPERLINK("https://twitter.com/miquinta1/status/1069970672816934912","1069970672816934912")</f>
        <v>1069970672816934912</v>
      </c>
      <c r="F2201" s="11"/>
      <c r="G2201" s="13" t="s">
        <v>8368</v>
      </c>
      <c r="H2201" s="11"/>
      <c r="I2201" s="14">
        <v>5</v>
      </c>
      <c r="J2201" s="14">
        <v>4</v>
      </c>
      <c r="K2201" s="15" t="str">
        <f>HYPERLINK("http://twitter.com/download/iphone","Twitter for iPhone")</f>
        <v>Twitter for iPhone</v>
      </c>
      <c r="L2201" s="14">
        <v>1986</v>
      </c>
      <c r="M2201" s="14">
        <v>427</v>
      </c>
      <c r="N2201" s="14">
        <v>18</v>
      </c>
      <c r="O2201" s="16"/>
      <c r="P2201" s="6">
        <v>40741.774583333332</v>
      </c>
      <c r="Q2201" s="11"/>
      <c r="R2201" s="17" t="s">
        <v>8369</v>
      </c>
      <c r="S2201" s="11"/>
      <c r="T2201" s="11"/>
      <c r="U2201" s="10" t="str">
        <f>HYPERLINK("https://pbs.twimg.com/profile_images/447761040848478208/67FQNE4C.jpeg","View")</f>
        <v>View</v>
      </c>
    </row>
    <row r="2202" spans="1:21" ht="40.799999999999997">
      <c r="A2202" s="6">
        <v>43438.666759259257</v>
      </c>
      <c r="B2202" s="7" t="str">
        <f>HYPERLINK("https://twitter.com/sentadillo","@sentadillo")</f>
        <v>@sentadillo</v>
      </c>
      <c r="C2202" s="8" t="s">
        <v>7122</v>
      </c>
      <c r="D2202" s="9" t="s">
        <v>7123</v>
      </c>
      <c r="E2202" s="10" t="str">
        <f>HYPERLINK("https://twitter.com/sentadillo/status/1069969608801746950","1069969608801746950")</f>
        <v>1069969608801746950</v>
      </c>
      <c r="F2202" s="11"/>
      <c r="G2202" s="13" t="s">
        <v>7126</v>
      </c>
      <c r="H2202" s="11"/>
      <c r="I2202" s="14">
        <v>0</v>
      </c>
      <c r="J2202" s="14">
        <v>0</v>
      </c>
      <c r="K2202" s="15" t="str">
        <f>HYPERLINK("http://klinkerapps.com","Talon Android")</f>
        <v>Talon Android</v>
      </c>
      <c r="L2202" s="14">
        <v>90</v>
      </c>
      <c r="M2202" s="14">
        <v>123</v>
      </c>
      <c r="N2202" s="14">
        <v>5</v>
      </c>
      <c r="O2202" s="16"/>
      <c r="P2202" s="6">
        <v>41140.944641203707</v>
      </c>
      <c r="Q2202" s="11"/>
      <c r="R2202" s="18"/>
      <c r="S2202" s="11"/>
      <c r="T2202" s="11"/>
      <c r="U2202" s="10" t="str">
        <f>HYPERLINK("https://pbs.twimg.com/profile_images/973333193574309889/qPZzUMhf.jpg","View")</f>
        <v>View</v>
      </c>
    </row>
    <row r="2203" spans="1:21" ht="51">
      <c r="A2203" s="6">
        <v>43438.665358796294</v>
      </c>
      <c r="B2203" s="7" t="str">
        <f>HYPERLINK("https://twitter.com/busti46","@busti46")</f>
        <v>@busti46</v>
      </c>
      <c r="C2203" s="8" t="s">
        <v>7127</v>
      </c>
      <c r="D2203" s="9" t="s">
        <v>7128</v>
      </c>
      <c r="E2203" s="10" t="str">
        <f>HYPERLINK("https://twitter.com/busti46/status/1069969099525115904","1069969099525115904")</f>
        <v>1069969099525115904</v>
      </c>
      <c r="F2203" s="11"/>
      <c r="G2203" s="11"/>
      <c r="H2203" s="11"/>
      <c r="I2203" s="14">
        <v>5</v>
      </c>
      <c r="J2203" s="14">
        <v>6</v>
      </c>
      <c r="K2203" s="15" t="str">
        <f t="shared" ref="K2203:K2205" si="434">HYPERLINK("http://twitter.com/download/android","Twitter for Android")</f>
        <v>Twitter for Android</v>
      </c>
      <c r="L2203" s="14">
        <v>2586</v>
      </c>
      <c r="M2203" s="14">
        <v>3309</v>
      </c>
      <c r="N2203" s="14">
        <v>13</v>
      </c>
      <c r="O2203" s="16"/>
      <c r="P2203" s="6">
        <v>41144.875381944446</v>
      </c>
      <c r="Q2203" s="11"/>
      <c r="R2203" s="17" t="s">
        <v>7134</v>
      </c>
      <c r="S2203" s="11"/>
      <c r="T2203" s="11"/>
      <c r="U2203" s="10" t="str">
        <f>HYPERLINK("https://pbs.twimg.com/profile_images/1034502771540742144/eQbDSv71.jpg","View")</f>
        <v>View</v>
      </c>
    </row>
    <row r="2204" spans="1:21" ht="40.799999999999997">
      <c r="A2204" s="6">
        <v>43438.664548611108</v>
      </c>
      <c r="B2204" s="7" t="str">
        <f>HYPERLINK("https://twitter.com/ErManueTietar","@ErManueTietar")</f>
        <v>@ErManueTietar</v>
      </c>
      <c r="C2204" s="8" t="s">
        <v>7135</v>
      </c>
      <c r="D2204" s="9" t="s">
        <v>7136</v>
      </c>
      <c r="E2204" s="10" t="str">
        <f>HYPERLINK("https://twitter.com/ErManueTietar/status/1069968806544633856","1069968806544633856")</f>
        <v>1069968806544633856</v>
      </c>
      <c r="F2204" s="11"/>
      <c r="G2204" s="11"/>
      <c r="H2204" s="11"/>
      <c r="I2204" s="14">
        <v>0</v>
      </c>
      <c r="J2204" s="14">
        <v>2</v>
      </c>
      <c r="K2204" s="15" t="str">
        <f t="shared" si="434"/>
        <v>Twitter for Android</v>
      </c>
      <c r="L2204" s="14">
        <v>2497</v>
      </c>
      <c r="M2204" s="14">
        <v>2407</v>
      </c>
      <c r="N2204" s="14">
        <v>21</v>
      </c>
      <c r="O2204" s="16"/>
      <c r="P2204" s="6">
        <v>41958.886076388888</v>
      </c>
      <c r="Q2204" s="12" t="s">
        <v>7138</v>
      </c>
      <c r="R2204" s="17" t="s">
        <v>7139</v>
      </c>
      <c r="S2204" s="11"/>
      <c r="T2204" s="11"/>
      <c r="U2204" s="10" t="str">
        <f>HYPERLINK("https://pbs.twimg.com/profile_images/1050797277453975552/dFLcgW2e.jpg","View")</f>
        <v>View</v>
      </c>
    </row>
    <row r="2205" spans="1:21" ht="102">
      <c r="A2205" s="6">
        <v>43438.663217592592</v>
      </c>
      <c r="B2205" s="7" t="str">
        <f>HYPERLINK("https://twitter.com/srdonpaco","@srdonpaco")</f>
        <v>@srdonpaco</v>
      </c>
      <c r="C2205" s="8" t="s">
        <v>7140</v>
      </c>
      <c r="D2205" s="9" t="s">
        <v>7141</v>
      </c>
      <c r="E2205" s="10" t="str">
        <f>HYPERLINK("https://twitter.com/srdonpaco/status/1069968327156658178","1069968327156658178")</f>
        <v>1069968327156658178</v>
      </c>
      <c r="F2205" s="12" t="s">
        <v>7146</v>
      </c>
      <c r="G2205" s="11"/>
      <c r="H2205" s="11"/>
      <c r="I2205" s="14">
        <v>1</v>
      </c>
      <c r="J2205" s="14">
        <v>1</v>
      </c>
      <c r="K2205" s="15" t="str">
        <f t="shared" si="434"/>
        <v>Twitter for Android</v>
      </c>
      <c r="L2205" s="14">
        <v>83</v>
      </c>
      <c r="M2205" s="14">
        <v>140</v>
      </c>
      <c r="N2205" s="14">
        <v>0</v>
      </c>
      <c r="O2205" s="16"/>
      <c r="P2205" s="6">
        <v>41574.429965277777</v>
      </c>
      <c r="Q2205" s="12" t="s">
        <v>2710</v>
      </c>
      <c r="R2205" s="18"/>
      <c r="S2205" s="11"/>
      <c r="T2205" s="11"/>
      <c r="U2205" s="10" t="str">
        <f>HYPERLINK("https://pbs.twimg.com/profile_images/378800000654240861/42b7f2e1a2d890c8beba45e44aad6408.jpeg","View")</f>
        <v>View</v>
      </c>
    </row>
    <row r="2206" spans="1:21" ht="51">
      <c r="A2206" s="6">
        <v>43438.662986111114</v>
      </c>
      <c r="B2206" s="7" t="str">
        <f>HYPERLINK("https://twitter.com/diariobalear_es","@diariobalear_es")</f>
        <v>@diariobalear_es</v>
      </c>
      <c r="C2206" s="8" t="s">
        <v>1653</v>
      </c>
      <c r="D2206" s="9" t="s">
        <v>7152</v>
      </c>
      <c r="E2206" s="10" t="str">
        <f>HYPERLINK("https://twitter.com/diariobalear_es/status/1069968242503024647","1069968242503024647")</f>
        <v>1069968242503024647</v>
      </c>
      <c r="F2206" s="13" t="s">
        <v>7153</v>
      </c>
      <c r="G2206" s="11"/>
      <c r="H2206" s="11"/>
      <c r="I2206" s="14">
        <v>0</v>
      </c>
      <c r="J2206" s="14">
        <v>0</v>
      </c>
      <c r="K2206" s="15" t="str">
        <f>HYPERLINK("http://twitter.com","Twitter Web Client")</f>
        <v>Twitter Web Client</v>
      </c>
      <c r="L2206" s="14">
        <v>3223</v>
      </c>
      <c r="M2206" s="14">
        <v>347</v>
      </c>
      <c r="N2206" s="14">
        <v>71</v>
      </c>
      <c r="O2206" s="16"/>
      <c r="P2206" s="6">
        <v>41694.754687499997</v>
      </c>
      <c r="Q2206" s="12" t="s">
        <v>1658</v>
      </c>
      <c r="R2206" s="17" t="s">
        <v>1659</v>
      </c>
      <c r="S2206" s="13" t="s">
        <v>1660</v>
      </c>
      <c r="T2206" s="11"/>
      <c r="U2206" s="10" t="str">
        <f>HYPERLINK("https://pbs.twimg.com/profile_images/992417277797597184/28OVRjFF.jpg","View")</f>
        <v>View</v>
      </c>
    </row>
    <row r="2207" spans="1:21" ht="51">
      <c r="A2207" s="6">
        <v>43438.66196759259</v>
      </c>
      <c r="B2207" s="7" t="str">
        <f>HYPERLINK("https://twitter.com/CiutadansCs","@CiutadansCs")</f>
        <v>@CiutadansCs</v>
      </c>
      <c r="C2207" s="8" t="s">
        <v>2635</v>
      </c>
      <c r="D2207" s="9" t="s">
        <v>7160</v>
      </c>
      <c r="E2207" s="10" t="str">
        <f>HYPERLINK("https://twitter.com/CiutadansCs/status/1069967871265132544","1069967871265132544")</f>
        <v>1069967871265132544</v>
      </c>
      <c r="F2207" s="11"/>
      <c r="G2207" s="13" t="s">
        <v>7162</v>
      </c>
      <c r="H2207" s="11"/>
      <c r="I2207" s="14">
        <v>149</v>
      </c>
      <c r="J2207" s="14">
        <v>380</v>
      </c>
      <c r="K2207" s="15" t="str">
        <f>HYPERLINK("https://studio.twitter.com","Twitter Media Studio")</f>
        <v>Twitter Media Studio</v>
      </c>
      <c r="L2207" s="14">
        <v>21904</v>
      </c>
      <c r="M2207" s="14">
        <v>2558</v>
      </c>
      <c r="N2207" s="14">
        <v>294</v>
      </c>
      <c r="O2207" s="19" t="s">
        <v>42</v>
      </c>
      <c r="P2207" s="6">
        <v>41884.461458333331</v>
      </c>
      <c r="Q2207" s="12" t="s">
        <v>2638</v>
      </c>
      <c r="R2207" s="17" t="s">
        <v>2639</v>
      </c>
      <c r="S2207" s="13" t="s">
        <v>822</v>
      </c>
      <c r="T2207" s="11"/>
      <c r="U2207" s="10" t="str">
        <f>HYPERLINK("https://pbs.twimg.com/profile_images/1053570460867289088/YHy8eYee.png","View")</f>
        <v>View</v>
      </c>
    </row>
    <row r="2208" spans="1:21" ht="61.2">
      <c r="A2208" s="6">
        <v>43438.661296296297</v>
      </c>
      <c r="B2208" s="7" t="str">
        <f>HYPERLINK("https://twitter.com/sentadillo","@sentadillo")</f>
        <v>@sentadillo</v>
      </c>
      <c r="C2208" s="8" t="s">
        <v>7122</v>
      </c>
      <c r="D2208" s="9" t="s">
        <v>7163</v>
      </c>
      <c r="E2208" s="10" t="str">
        <f>HYPERLINK("https://twitter.com/sentadillo/status/1069967628184244227","1069967628184244227")</f>
        <v>1069967628184244227</v>
      </c>
      <c r="F2208" s="13" t="s">
        <v>7164</v>
      </c>
      <c r="G2208" s="11"/>
      <c r="H2208" s="11"/>
      <c r="I2208" s="14">
        <v>0</v>
      </c>
      <c r="J2208" s="14">
        <v>1</v>
      </c>
      <c r="K2208" s="15" t="str">
        <f>HYPERLINK("http://klinkerapps.com","Talon Android")</f>
        <v>Talon Android</v>
      </c>
      <c r="L2208" s="14">
        <v>90</v>
      </c>
      <c r="M2208" s="14">
        <v>123</v>
      </c>
      <c r="N2208" s="14">
        <v>5</v>
      </c>
      <c r="O2208" s="16"/>
      <c r="P2208" s="6">
        <v>41140.944641203707</v>
      </c>
      <c r="Q2208" s="11"/>
      <c r="R2208" s="18"/>
      <c r="S2208" s="11"/>
      <c r="T2208" s="11"/>
      <c r="U2208" s="10" t="str">
        <f>HYPERLINK("https://pbs.twimg.com/profile_images/973333193574309889/qPZzUMhf.jpg","View")</f>
        <v>View</v>
      </c>
    </row>
    <row r="2209" spans="1:21" ht="51">
      <c r="A2209" s="6">
        <v>43438.661250000005</v>
      </c>
      <c r="B2209" s="7" t="str">
        <f>HYPERLINK("https://twitter.com/_pablogil_","@_pablogil_")</f>
        <v>@_pablogil_</v>
      </c>
      <c r="C2209" s="8" t="s">
        <v>7165</v>
      </c>
      <c r="D2209" s="9" t="s">
        <v>7166</v>
      </c>
      <c r="E2209" s="10" t="str">
        <f>HYPERLINK("https://twitter.com/_pablogil_/status/1069967611616739329","1069967611616739329")</f>
        <v>1069967611616739329</v>
      </c>
      <c r="F2209" s="11"/>
      <c r="G2209" s="11"/>
      <c r="H2209" s="11"/>
      <c r="I2209" s="14">
        <v>0</v>
      </c>
      <c r="J2209" s="14">
        <v>1</v>
      </c>
      <c r="K2209" s="15" t="str">
        <f>HYPERLINK("http://twitter.com/download/iphone","Twitter for iPhone")</f>
        <v>Twitter for iPhone</v>
      </c>
      <c r="L2209" s="14">
        <v>397</v>
      </c>
      <c r="M2209" s="14">
        <v>1196</v>
      </c>
      <c r="N2209" s="14">
        <v>6</v>
      </c>
      <c r="O2209" s="16"/>
      <c r="P2209" s="6">
        <v>40539.388553240744</v>
      </c>
      <c r="Q2209" s="12" t="s">
        <v>7167</v>
      </c>
      <c r="R2209" s="17" t="s">
        <v>7168</v>
      </c>
      <c r="S2209" s="11"/>
      <c r="T2209" s="11"/>
      <c r="U2209" s="10" t="str">
        <f>HYPERLINK("https://pbs.twimg.com/profile_images/1069184462003625985/ZDQdKLQd.jpg","View")</f>
        <v>View</v>
      </c>
    </row>
    <row r="2210" spans="1:21" ht="51">
      <c r="A2210" s="6">
        <v>43438.659930555557</v>
      </c>
      <c r="B2210" s="7" t="str">
        <f>HYPERLINK("https://twitter.com/juluniver","@juluniver")</f>
        <v>@juluniver</v>
      </c>
      <c r="C2210" s="8" t="s">
        <v>544</v>
      </c>
      <c r="D2210" s="9" t="s">
        <v>7169</v>
      </c>
      <c r="E2210" s="10" t="str">
        <f>HYPERLINK("https://twitter.com/juluniver/status/1069967133667414017","1069967133667414017")</f>
        <v>1069967133667414017</v>
      </c>
      <c r="F2210" s="13" t="s">
        <v>7170</v>
      </c>
      <c r="G2210" s="11"/>
      <c r="H2210" s="11"/>
      <c r="I2210" s="14">
        <v>1</v>
      </c>
      <c r="J2210" s="14">
        <v>0</v>
      </c>
      <c r="K2210" s="15" t="str">
        <f>HYPERLINK("http://twitter.com/download/android","Twitter for Android")</f>
        <v>Twitter for Android</v>
      </c>
      <c r="L2210" s="14">
        <v>143</v>
      </c>
      <c r="M2210" s="14">
        <v>91</v>
      </c>
      <c r="N2210" s="14">
        <v>2</v>
      </c>
      <c r="O2210" s="16"/>
      <c r="P2210" s="6">
        <v>42166.543541666666</v>
      </c>
      <c r="Q2210" s="12" t="s">
        <v>551</v>
      </c>
      <c r="R2210" s="17" t="s">
        <v>553</v>
      </c>
      <c r="S2210" s="11"/>
      <c r="T2210" s="11"/>
      <c r="U2210" s="10" t="str">
        <f>HYPERLINK("https://pbs.twimg.com/profile_images/847880241892777992/Krxx7fp-.jpg","View")</f>
        <v>View</v>
      </c>
    </row>
    <row r="2211" spans="1:21" ht="20.399999999999999">
      <c r="A2211" s="6">
        <v>43438.658020833333</v>
      </c>
      <c r="B2211" s="7" t="str">
        <f>HYPERLINK("https://twitter.com/luluuu19_","@luluuu19_")</f>
        <v>@luluuu19_</v>
      </c>
      <c r="C2211" s="8" t="s">
        <v>8370</v>
      </c>
      <c r="D2211" s="9" t="s">
        <v>8371</v>
      </c>
      <c r="E2211" s="10" t="str">
        <f>HYPERLINK("https://twitter.com/luluuu19_/status/1069966441762471936","1069966441762471936")</f>
        <v>1069966441762471936</v>
      </c>
      <c r="F2211" s="11"/>
      <c r="G2211" s="11"/>
      <c r="H2211" s="11"/>
      <c r="I2211" s="14">
        <v>0</v>
      </c>
      <c r="J2211" s="14">
        <v>0</v>
      </c>
      <c r="K2211" s="15" t="str">
        <f t="shared" ref="K2211:K2212" si="435">HYPERLINK("http://twitter.com/download/iphone","Twitter for iPhone")</f>
        <v>Twitter for iPhone</v>
      </c>
      <c r="L2211" s="14">
        <v>324</v>
      </c>
      <c r="M2211" s="14">
        <v>572</v>
      </c>
      <c r="N2211" s="14">
        <v>8</v>
      </c>
      <c r="O2211" s="16"/>
      <c r="P2211" s="6">
        <v>41034.935208333336</v>
      </c>
      <c r="Q2211" s="12" t="s">
        <v>8372</v>
      </c>
      <c r="R2211" s="17" t="s">
        <v>8373</v>
      </c>
      <c r="S2211" s="11"/>
      <c r="T2211" s="11"/>
      <c r="U2211" s="10" t="str">
        <f>HYPERLINK("https://pbs.twimg.com/profile_images/1061420866775511040/OeCZcoR-.jpg","View")</f>
        <v>View</v>
      </c>
    </row>
    <row r="2212" spans="1:21" ht="81.599999999999994">
      <c r="A2212" s="6">
        <v>43438.65179398148</v>
      </c>
      <c r="B2212" s="7" t="str">
        <f>HYPERLINK("https://twitter.com/_____Nadie","@_____Nadie")</f>
        <v>@_____Nadie</v>
      </c>
      <c r="C2212" s="8" t="s">
        <v>7173</v>
      </c>
      <c r="D2212" s="9" t="s">
        <v>7174</v>
      </c>
      <c r="E2212" s="10" t="str">
        <f>HYPERLINK("https://twitter.com/_____Nadie/status/1069964184530706432","1069964184530706432")</f>
        <v>1069964184530706432</v>
      </c>
      <c r="F2212" s="12" t="s">
        <v>7001</v>
      </c>
      <c r="G2212" s="11"/>
      <c r="H2212" s="11"/>
      <c r="I2212" s="14">
        <v>0</v>
      </c>
      <c r="J2212" s="14">
        <v>0</v>
      </c>
      <c r="K2212" s="15" t="str">
        <f t="shared" si="435"/>
        <v>Twitter for iPhone</v>
      </c>
      <c r="L2212" s="14">
        <v>68</v>
      </c>
      <c r="M2212" s="14">
        <v>0</v>
      </c>
      <c r="N2212" s="14">
        <v>0</v>
      </c>
      <c r="O2212" s="16"/>
      <c r="P2212" s="6">
        <v>43027.962777777779</v>
      </c>
      <c r="Q2212" s="12" t="s">
        <v>137</v>
      </c>
      <c r="R2212" s="17" t="s">
        <v>7177</v>
      </c>
      <c r="S2212" s="11"/>
      <c r="T2212" s="11"/>
      <c r="U2212" s="10" t="str">
        <f>HYPERLINK("https://pbs.twimg.com/profile_images/998157788139278336/Czke3-JV.jpg","View")</f>
        <v>View</v>
      </c>
    </row>
    <row r="2213" spans="1:21" ht="20.399999999999999">
      <c r="A2213" s="6">
        <v>43438.65111111111</v>
      </c>
      <c r="B2213" s="7" t="str">
        <f>HYPERLINK("https://twitter.com/negativo_stats","@negativo_stats")</f>
        <v>@negativo_stats</v>
      </c>
      <c r="C2213" s="8" t="s">
        <v>171</v>
      </c>
      <c r="D2213" s="9" t="s">
        <v>172</v>
      </c>
      <c r="E2213" s="10" t="str">
        <f>HYPERLINK("https://twitter.com/negativo_stats/status/1069963937087668225","1069963937087668225")</f>
        <v>1069963937087668225</v>
      </c>
      <c r="F2213" s="11"/>
      <c r="G2213" s="13" t="s">
        <v>7181</v>
      </c>
      <c r="H2213" s="11"/>
      <c r="I2213" s="14">
        <v>0</v>
      </c>
      <c r="J2213" s="14">
        <v>0</v>
      </c>
      <c r="K2213" s="15" t="str">
        <f>HYPERLINK("http://kosmonautica.es","Política Negativa")</f>
        <v>Política Negativa</v>
      </c>
      <c r="L2213" s="14">
        <v>268</v>
      </c>
      <c r="M2213" s="14">
        <v>788</v>
      </c>
      <c r="N2213" s="14">
        <v>2</v>
      </c>
      <c r="O2213" s="16"/>
      <c r="P2213" s="6">
        <v>42171.770601851851</v>
      </c>
      <c r="Q2213" s="12" t="s">
        <v>60</v>
      </c>
      <c r="R2213" s="17" t="s">
        <v>174</v>
      </c>
      <c r="S2213" s="11"/>
      <c r="T2213" s="11"/>
      <c r="U2213" s="10" t="str">
        <f>HYPERLINK("https://pbs.twimg.com/profile_images/628553625984438272/e-VHyhP1.png","View")</f>
        <v>View</v>
      </c>
    </row>
    <row r="2214" spans="1:21" ht="51">
      <c r="A2214" s="6">
        <v>43438.650266203702</v>
      </c>
      <c r="B2214" s="7" t="str">
        <f>HYPERLINK("https://twitter.com/Fdez_Jessica","@Fdez_Jessica")</f>
        <v>@Fdez_Jessica</v>
      </c>
      <c r="C2214" s="8" t="s">
        <v>7182</v>
      </c>
      <c r="D2214" s="9" t="s">
        <v>7183</v>
      </c>
      <c r="E2214" s="10" t="str">
        <f>HYPERLINK("https://twitter.com/Fdez_Jessica/status/1069963632786767878","1069963632786767878")</f>
        <v>1069963632786767878</v>
      </c>
      <c r="F2214" s="11"/>
      <c r="G2214" s="11"/>
      <c r="H2214" s="11"/>
      <c r="I2214" s="14">
        <v>0</v>
      </c>
      <c r="J2214" s="14">
        <v>0</v>
      </c>
      <c r="K2214" s="15" t="str">
        <f>HYPERLINK("https://mobile.twitter.com","Twitter Lite")</f>
        <v>Twitter Lite</v>
      </c>
      <c r="L2214" s="14">
        <v>66</v>
      </c>
      <c r="M2214" s="14">
        <v>62</v>
      </c>
      <c r="N2214" s="14">
        <v>0</v>
      </c>
      <c r="O2214" s="16"/>
      <c r="P2214" s="6">
        <v>41018.70177083333</v>
      </c>
      <c r="Q2214" s="12" t="s">
        <v>137</v>
      </c>
      <c r="R2214" s="17" t="s">
        <v>7187</v>
      </c>
      <c r="S2214" s="11"/>
      <c r="T2214" s="11"/>
      <c r="U2214" s="10" t="str">
        <f>HYPERLINK("https://pbs.twimg.com/profile_images/1051537330090192896/QOr8DY7l.jpg","View")</f>
        <v>View</v>
      </c>
    </row>
    <row r="2215" spans="1:21" ht="30.6">
      <c r="A2215" s="6">
        <v>43438.649189814816</v>
      </c>
      <c r="B2215" s="7" t="str">
        <f>HYPERLINK("https://twitter.com/EnriqueBoto","@EnriqueBoto")</f>
        <v>@EnriqueBoto</v>
      </c>
      <c r="C2215" s="8" t="s">
        <v>3819</v>
      </c>
      <c r="D2215" s="9" t="s">
        <v>7191</v>
      </c>
      <c r="E2215" s="10" t="str">
        <f>HYPERLINK("https://twitter.com/EnriqueBoto/status/1069963240719945728","1069963240719945728")</f>
        <v>1069963240719945728</v>
      </c>
      <c r="F2215" s="13" t="s">
        <v>7192</v>
      </c>
      <c r="G2215" s="11"/>
      <c r="H2215" s="11"/>
      <c r="I2215" s="14">
        <v>1</v>
      </c>
      <c r="J2215" s="14">
        <v>0</v>
      </c>
      <c r="K2215" s="15" t="str">
        <f t="shared" ref="K2215:K2216" si="436">HYPERLINK("http://twitter.com","Twitter Web Client")</f>
        <v>Twitter Web Client</v>
      </c>
      <c r="L2215" s="14">
        <v>1420</v>
      </c>
      <c r="M2215" s="14">
        <v>962</v>
      </c>
      <c r="N2215" s="14">
        <v>14</v>
      </c>
      <c r="O2215" s="16"/>
      <c r="P2215" s="6">
        <v>41575.47896990741</v>
      </c>
      <c r="Q2215" s="12" t="s">
        <v>3823</v>
      </c>
      <c r="R2215" s="17" t="s">
        <v>3824</v>
      </c>
      <c r="S2215" s="11"/>
      <c r="T2215" s="11"/>
      <c r="U2215" s="10" t="str">
        <f>HYPERLINK("https://pbs.twimg.com/profile_images/432673214150356992/k4dht69u.png","View")</f>
        <v>View</v>
      </c>
    </row>
    <row r="2216" spans="1:21" ht="61.2">
      <c r="A2216" s="6">
        <v>43438.646122685182</v>
      </c>
      <c r="B2216" s="7" t="str">
        <f>HYPERLINK("https://twitter.com/Manuel_M_A","@Manuel_M_A")</f>
        <v>@Manuel_M_A</v>
      </c>
      <c r="C2216" s="8" t="s">
        <v>7194</v>
      </c>
      <c r="D2216" s="9" t="s">
        <v>7195</v>
      </c>
      <c r="E2216" s="10" t="str">
        <f>HYPERLINK("https://twitter.com/Manuel_M_A/status/1069962131993436160","1069962131993436160")</f>
        <v>1069962131993436160</v>
      </c>
      <c r="F2216" s="12" t="s">
        <v>7196</v>
      </c>
      <c r="G2216" s="11"/>
      <c r="H2216" s="11"/>
      <c r="I2216" s="14">
        <v>0</v>
      </c>
      <c r="J2216" s="14">
        <v>1</v>
      </c>
      <c r="K2216" s="15" t="str">
        <f t="shared" si="436"/>
        <v>Twitter Web Client</v>
      </c>
      <c r="L2216" s="14">
        <v>268</v>
      </c>
      <c r="M2216" s="14">
        <v>269</v>
      </c>
      <c r="N2216" s="14">
        <v>62</v>
      </c>
      <c r="O2216" s="16"/>
      <c r="P2216" s="6">
        <v>40755.715636574074</v>
      </c>
      <c r="Q2216" s="12" t="s">
        <v>2710</v>
      </c>
      <c r="R2216" s="17" t="s">
        <v>7197</v>
      </c>
      <c r="S2216" s="13" t="s">
        <v>7198</v>
      </c>
      <c r="T2216" s="11"/>
      <c r="U2216" s="10" t="str">
        <f>HYPERLINK("https://pbs.twimg.com/profile_images/539474945764769792/SPjsN-Jy.jpeg","View")</f>
        <v>View</v>
      </c>
    </row>
    <row r="2217" spans="1:21" ht="61.2">
      <c r="A2217" s="6">
        <v>43438.644791666666</v>
      </c>
      <c r="B2217" s="7" t="str">
        <f>HYPERLINK("https://twitter.com/Denunci67122123","@Denunci67122123")</f>
        <v>@Denunci67122123</v>
      </c>
      <c r="C2217" s="8" t="s">
        <v>7199</v>
      </c>
      <c r="D2217" s="9" t="s">
        <v>7200</v>
      </c>
      <c r="E2217" s="10" t="str">
        <f>HYPERLINK("https://twitter.com/Denunci67122123/status/1069961646360154113","1069961646360154113")</f>
        <v>1069961646360154113</v>
      </c>
      <c r="F2217" s="11"/>
      <c r="G2217" s="11"/>
      <c r="H2217" s="11"/>
      <c r="I2217" s="14">
        <v>0</v>
      </c>
      <c r="J2217" s="14">
        <v>0</v>
      </c>
      <c r="K2217" s="15" t="str">
        <f t="shared" ref="K2217:K2218" si="437">HYPERLINK("http://twitter.com/download/android","Twitter for Android")</f>
        <v>Twitter for Android</v>
      </c>
      <c r="L2217" s="14">
        <v>12</v>
      </c>
      <c r="M2217" s="14">
        <v>254</v>
      </c>
      <c r="N2217" s="14">
        <v>0</v>
      </c>
      <c r="O2217" s="16"/>
      <c r="P2217" s="6">
        <v>43390.799953703703</v>
      </c>
      <c r="Q2217" s="11"/>
      <c r="R2217" s="17" t="s">
        <v>7203</v>
      </c>
      <c r="S2217" s="11"/>
      <c r="T2217" s="11"/>
      <c r="U2217" s="10" t="str">
        <f>HYPERLINK("https://pbs.twimg.com/profile_images/1069226527404027904/_ZGoJyoC.jpg","View")</f>
        <v>View</v>
      </c>
    </row>
    <row r="2218" spans="1:21" ht="30.6">
      <c r="A2218" s="6">
        <v>43438.643495370372</v>
      </c>
      <c r="B2218" s="7" t="str">
        <f>HYPERLINK("https://twitter.com/rafersa65","@rafersa65")</f>
        <v>@rafersa65</v>
      </c>
      <c r="C2218" s="8" t="s">
        <v>7207</v>
      </c>
      <c r="D2218" s="9" t="s">
        <v>7208</v>
      </c>
      <c r="E2218" s="10" t="str">
        <f>HYPERLINK("https://twitter.com/rafersa65/status/1069961178959540226","1069961178959540226")</f>
        <v>1069961178959540226</v>
      </c>
      <c r="F2218" s="13" t="s">
        <v>7211</v>
      </c>
      <c r="G2218" s="11"/>
      <c r="H2218" s="11"/>
      <c r="I2218" s="14">
        <v>1</v>
      </c>
      <c r="J2218" s="14">
        <v>1</v>
      </c>
      <c r="K2218" s="15" t="str">
        <f t="shared" si="437"/>
        <v>Twitter for Android</v>
      </c>
      <c r="L2218" s="14">
        <v>1292</v>
      </c>
      <c r="M2218" s="14">
        <v>1984</v>
      </c>
      <c r="N2218" s="14">
        <v>6</v>
      </c>
      <c r="O2218" s="16"/>
      <c r="P2218" s="6">
        <v>41168.844664351855</v>
      </c>
      <c r="Q2218" s="12" t="s">
        <v>7213</v>
      </c>
      <c r="R2218" s="17" t="s">
        <v>7214</v>
      </c>
      <c r="S2218" s="11"/>
      <c r="T2218" s="11"/>
      <c r="U2218" s="10" t="str">
        <f>HYPERLINK("https://pbs.twimg.com/profile_images/378800000341370768/68e2b59b223d4ce0ec4dd81e67f284c5.jpeg","View")</f>
        <v>View</v>
      </c>
    </row>
    <row r="2219" spans="1:21" ht="30.6">
      <c r="A2219" s="6">
        <v>43438.642754629633</v>
      </c>
      <c r="B2219" s="7" t="str">
        <f>HYPERLINK("https://twitter.com/JuanLuisOrtegaG","@JuanLuisOrtegaG")</f>
        <v>@JuanLuisOrtegaG</v>
      </c>
      <c r="C2219" s="8" t="s">
        <v>8374</v>
      </c>
      <c r="D2219" s="9" t="s">
        <v>8375</v>
      </c>
      <c r="E2219" s="10" t="str">
        <f>HYPERLINK("https://twitter.com/JuanLuisOrtegaG/status/1069960909429329922","1069960909429329922")</f>
        <v>1069960909429329922</v>
      </c>
      <c r="F2219" s="11"/>
      <c r="G2219" s="11"/>
      <c r="H2219" s="11"/>
      <c r="I2219" s="14">
        <v>1</v>
      </c>
      <c r="J2219" s="14">
        <v>1</v>
      </c>
      <c r="K2219" s="15" t="str">
        <f>HYPERLINK("http://twitter.com","Twitter Web Client")</f>
        <v>Twitter Web Client</v>
      </c>
      <c r="L2219" s="14">
        <v>15852</v>
      </c>
      <c r="M2219" s="14">
        <v>11017</v>
      </c>
      <c r="N2219" s="14">
        <v>101</v>
      </c>
      <c r="O2219" s="16"/>
      <c r="P2219" s="6">
        <v>39784.981215277774</v>
      </c>
      <c r="Q2219" s="12" t="s">
        <v>8376</v>
      </c>
      <c r="R2219" s="17" t="s">
        <v>8377</v>
      </c>
      <c r="S2219" s="11"/>
      <c r="T2219" s="11"/>
      <c r="U2219" s="10" t="str">
        <f>HYPERLINK("https://pbs.twimg.com/profile_images/485124916488843264/BOiVAIFY.jpeg","View")</f>
        <v>View</v>
      </c>
    </row>
    <row r="2220" spans="1:21" ht="40.799999999999997">
      <c r="A2220" s="6">
        <v>43438.642581018517</v>
      </c>
      <c r="B2220" s="7" t="str">
        <f>HYPERLINK("https://twitter.com/mtrasto","@mtrasto")</f>
        <v>@mtrasto</v>
      </c>
      <c r="C2220" s="8" t="s">
        <v>7220</v>
      </c>
      <c r="D2220" s="9" t="s">
        <v>7221</v>
      </c>
      <c r="E2220" s="10" t="str">
        <f>HYPERLINK("https://twitter.com/mtrasto/status/1069960847420743681","1069960847420743681")</f>
        <v>1069960847420743681</v>
      </c>
      <c r="F2220" s="11"/>
      <c r="G2220" s="11"/>
      <c r="H2220" s="11"/>
      <c r="I2220" s="14">
        <v>0</v>
      </c>
      <c r="J2220" s="14">
        <v>0</v>
      </c>
      <c r="K2220" s="15" t="str">
        <f t="shared" ref="K2220:K2221" si="438">HYPERLINK("http://twitter.com/download/android","Twitter for Android")</f>
        <v>Twitter for Android</v>
      </c>
      <c r="L2220" s="14">
        <v>3</v>
      </c>
      <c r="M2220" s="14">
        <v>83</v>
      </c>
      <c r="N2220" s="14">
        <v>0</v>
      </c>
      <c r="O2220" s="16"/>
      <c r="P2220" s="6">
        <v>40430.993645833332</v>
      </c>
      <c r="Q2220" s="11"/>
      <c r="R2220" s="18"/>
      <c r="S2220" s="11"/>
      <c r="T2220" s="11"/>
      <c r="U2220" s="19" t="s">
        <v>629</v>
      </c>
    </row>
    <row r="2221" spans="1:21" ht="51">
      <c r="A2221" s="6">
        <v>43438.640439814815</v>
      </c>
      <c r="B2221" s="7" t="str">
        <f>HYPERLINK("https://twitter.com/Juanmaasolas","@Juanmaasolas")</f>
        <v>@Juanmaasolas</v>
      </c>
      <c r="C2221" s="8" t="s">
        <v>7222</v>
      </c>
      <c r="D2221" s="9" t="s">
        <v>7223</v>
      </c>
      <c r="E2221" s="10" t="str">
        <f>HYPERLINK("https://twitter.com/Juanmaasolas/status/1069960072992866306","1069960072992866306")</f>
        <v>1069960072992866306</v>
      </c>
      <c r="F2221" s="11"/>
      <c r="G2221" s="11"/>
      <c r="H2221" s="11"/>
      <c r="I2221" s="14">
        <v>0</v>
      </c>
      <c r="J2221" s="14">
        <v>0</v>
      </c>
      <c r="K2221" s="15" t="str">
        <f t="shared" si="438"/>
        <v>Twitter for Android</v>
      </c>
      <c r="L2221" s="14">
        <v>910</v>
      </c>
      <c r="M2221" s="14">
        <v>668</v>
      </c>
      <c r="N2221" s="14">
        <v>11</v>
      </c>
      <c r="O2221" s="16"/>
      <c r="P2221" s="6">
        <v>40861.754305555558</v>
      </c>
      <c r="Q2221" s="12" t="s">
        <v>29</v>
      </c>
      <c r="R2221" s="17" t="s">
        <v>7224</v>
      </c>
      <c r="S2221" s="11"/>
      <c r="T2221" s="11"/>
      <c r="U2221" s="10" t="str">
        <f>HYPERLINK("https://pbs.twimg.com/profile_images/748127448454291456/btdagcTU.jpg","View")</f>
        <v>View</v>
      </c>
    </row>
    <row r="2222" spans="1:21" ht="51">
      <c r="A2222" s="6">
        <v>43438.640127314815</v>
      </c>
      <c r="B2222" s="7" t="str">
        <f>HYPERLINK("https://twitter.com/Pablo_Salias","@Pablo_Salias")</f>
        <v>@Pablo_Salias</v>
      </c>
      <c r="C2222" s="8" t="s">
        <v>7027</v>
      </c>
      <c r="D2222" s="9" t="s">
        <v>7225</v>
      </c>
      <c r="E2222" s="10" t="str">
        <f>HYPERLINK("https://twitter.com/Pablo_Salias/status/1069959957527715841","1069959957527715841")</f>
        <v>1069959957527715841</v>
      </c>
      <c r="F2222" s="11"/>
      <c r="G2222" s="13" t="s">
        <v>7226</v>
      </c>
      <c r="H2222" s="11"/>
      <c r="I2222" s="14">
        <v>0</v>
      </c>
      <c r="J2222" s="14">
        <v>1</v>
      </c>
      <c r="K2222" s="15" t="str">
        <f>HYPERLINK("http://twitter.com","Twitter Web Client")</f>
        <v>Twitter Web Client</v>
      </c>
      <c r="L2222" s="14">
        <v>1150</v>
      </c>
      <c r="M2222" s="14">
        <v>1122</v>
      </c>
      <c r="N2222" s="14">
        <v>13</v>
      </c>
      <c r="O2222" s="16"/>
      <c r="P2222" s="6">
        <v>40348.001689814817</v>
      </c>
      <c r="Q2222" s="12" t="s">
        <v>137</v>
      </c>
      <c r="R2222" s="17" t="s">
        <v>7032</v>
      </c>
      <c r="S2222" s="11"/>
      <c r="T2222" s="11"/>
      <c r="U2222" s="10" t="str">
        <f>HYPERLINK("https://pbs.twimg.com/profile_images/1008514819236872193/b63feMMO.jpg","View")</f>
        <v>View</v>
      </c>
    </row>
    <row r="2223" spans="1:21" ht="20.399999999999999">
      <c r="A2223" s="6">
        <v>43438.639456018514</v>
      </c>
      <c r="B2223" s="7" t="str">
        <f>HYPERLINK("https://twitter.com/Sergiokvothe","@Sergiokvothe")</f>
        <v>@Sergiokvothe</v>
      </c>
      <c r="C2223" s="8" t="s">
        <v>8378</v>
      </c>
      <c r="D2223" s="9" t="s">
        <v>8379</v>
      </c>
      <c r="E2223" s="10" t="str">
        <f>HYPERLINK("https://twitter.com/Sergiokvothe/status/1069959715734589441","1069959715734589441")</f>
        <v>1069959715734589441</v>
      </c>
      <c r="F2223" s="11"/>
      <c r="G2223" s="11"/>
      <c r="H2223" s="11"/>
      <c r="I2223" s="14">
        <v>0</v>
      </c>
      <c r="J2223" s="14">
        <v>6</v>
      </c>
      <c r="K2223" s="15" t="str">
        <f t="shared" ref="K2223:K2225" si="439">HYPERLINK("http://twitter.com/download/android","Twitter for Android")</f>
        <v>Twitter for Android</v>
      </c>
      <c r="L2223" s="14">
        <v>264</v>
      </c>
      <c r="M2223" s="14">
        <v>840</v>
      </c>
      <c r="N2223" s="14">
        <v>1</v>
      </c>
      <c r="O2223" s="16"/>
      <c r="P2223" s="6">
        <v>40964.553020833337</v>
      </c>
      <c r="Q2223" s="12" t="s">
        <v>8380</v>
      </c>
      <c r="R2223" s="27" t="s">
        <v>8381</v>
      </c>
      <c r="S2223" s="13" t="s">
        <v>8382</v>
      </c>
      <c r="T2223" s="11"/>
      <c r="U2223" s="10" t="str">
        <f>HYPERLINK("https://pbs.twimg.com/profile_images/1052676985741303808/mOhxZJIX.jpg","View")</f>
        <v>View</v>
      </c>
    </row>
    <row r="2224" spans="1:21" ht="71.400000000000006">
      <c r="A2224" s="6">
        <v>43438.639293981483</v>
      </c>
      <c r="B2224" s="7" t="str">
        <f>HYPERLINK("https://twitter.com/Vityspain","@Vityspain")</f>
        <v>@Vityspain</v>
      </c>
      <c r="C2224" s="8" t="s">
        <v>7227</v>
      </c>
      <c r="D2224" s="9" t="s">
        <v>7228</v>
      </c>
      <c r="E2224" s="10" t="str">
        <f>HYPERLINK("https://twitter.com/Vityspain/status/1069959654824992769","1069959654824992769")</f>
        <v>1069959654824992769</v>
      </c>
      <c r="F2224" s="12" t="s">
        <v>7229</v>
      </c>
      <c r="G2224" s="13" t="s">
        <v>7230</v>
      </c>
      <c r="H2224" s="11"/>
      <c r="I2224" s="14">
        <v>0</v>
      </c>
      <c r="J2224" s="14">
        <v>0</v>
      </c>
      <c r="K2224" s="15" t="str">
        <f t="shared" si="439"/>
        <v>Twitter for Android</v>
      </c>
      <c r="L2224" s="14">
        <v>2159</v>
      </c>
      <c r="M2224" s="14">
        <v>2129</v>
      </c>
      <c r="N2224" s="14">
        <v>46</v>
      </c>
      <c r="O2224" s="16"/>
      <c r="P2224" s="6">
        <v>40530.921736111108</v>
      </c>
      <c r="Q2224" s="12" t="s">
        <v>137</v>
      </c>
      <c r="R2224" s="17" t="s">
        <v>7231</v>
      </c>
      <c r="S2224" s="11"/>
      <c r="T2224" s="11"/>
      <c r="U2224" s="10" t="str">
        <f>HYPERLINK("https://pbs.twimg.com/profile_images/1071414131906019328/A5h9O2aJ.jpg","View")</f>
        <v>View</v>
      </c>
    </row>
    <row r="2225" spans="1:21" ht="40.799999999999997">
      <c r="A2225" s="6">
        <v>43438.635405092587</v>
      </c>
      <c r="B2225" s="7" t="str">
        <f>HYPERLINK("https://twitter.com/Joe_Reus","@Joe_Reus")</f>
        <v>@Joe_Reus</v>
      </c>
      <c r="C2225" s="8" t="s">
        <v>7232</v>
      </c>
      <c r="D2225" s="9" t="s">
        <v>7233</v>
      </c>
      <c r="E2225" s="10" t="str">
        <f>HYPERLINK("https://twitter.com/Joe_Reus/status/1069958246402809861","1069958246402809861")</f>
        <v>1069958246402809861</v>
      </c>
      <c r="F2225" s="11"/>
      <c r="G2225" s="11"/>
      <c r="H2225" s="11"/>
      <c r="I2225" s="14">
        <v>1</v>
      </c>
      <c r="J2225" s="14">
        <v>1</v>
      </c>
      <c r="K2225" s="15" t="str">
        <f t="shared" si="439"/>
        <v>Twitter for Android</v>
      </c>
      <c r="L2225" s="14">
        <v>43</v>
      </c>
      <c r="M2225" s="14">
        <v>213</v>
      </c>
      <c r="N2225" s="14">
        <v>0</v>
      </c>
      <c r="O2225" s="16"/>
      <c r="P2225" s="6">
        <v>40472.749340277776</v>
      </c>
      <c r="Q2225" s="12" t="s">
        <v>7234</v>
      </c>
      <c r="R2225" s="17" t="s">
        <v>7235</v>
      </c>
      <c r="S2225" s="11"/>
      <c r="T2225" s="11"/>
      <c r="U2225" s="10" t="str">
        <f>HYPERLINK("https://pbs.twimg.com/profile_images/1064282287607554054/Uik1LQak.jpg","View")</f>
        <v>View</v>
      </c>
    </row>
    <row r="2226" spans="1:21" ht="20.399999999999999">
      <c r="A2226" s="6">
        <v>43438.633472222224</v>
      </c>
      <c r="B2226" s="7" t="str">
        <f>HYPERLINK("https://twitter.com/bsuabia","@bsuabia")</f>
        <v>@bsuabia</v>
      </c>
      <c r="C2226" s="8" t="s">
        <v>8383</v>
      </c>
      <c r="D2226" s="9" t="s">
        <v>8384</v>
      </c>
      <c r="E2226" s="10" t="str">
        <f>HYPERLINK("https://twitter.com/bsuabia/status/1069957547552059392","1069957547552059392")</f>
        <v>1069957547552059392</v>
      </c>
      <c r="F2226" s="11"/>
      <c r="G2226" s="11"/>
      <c r="H2226" s="11"/>
      <c r="I2226" s="14">
        <v>6</v>
      </c>
      <c r="J2226" s="14">
        <v>12</v>
      </c>
      <c r="K2226" s="15" t="str">
        <f>HYPERLINK("http://twitter.com/#!/download/ipad","Twitter for iPad")</f>
        <v>Twitter for iPad</v>
      </c>
      <c r="L2226" s="14">
        <v>856</v>
      </c>
      <c r="M2226" s="14">
        <v>311</v>
      </c>
      <c r="N2226" s="14">
        <v>6</v>
      </c>
      <c r="O2226" s="16"/>
      <c r="P2226" s="6">
        <v>39986.567557870367</v>
      </c>
      <c r="Q2226" s="11"/>
      <c r="R2226" s="17" t="s">
        <v>8385</v>
      </c>
      <c r="S2226" s="11"/>
      <c r="T2226" s="11"/>
      <c r="U2226" s="10" t="str">
        <f>HYPERLINK("https://pbs.twimg.com/profile_images/947111504855347200/EIFvHU9t.jpg","View")</f>
        <v>View</v>
      </c>
    </row>
    <row r="2227" spans="1:21" ht="81.599999999999994">
      <c r="A2227" s="6">
        <v>43438.633148148147</v>
      </c>
      <c r="B2227" s="7" t="str">
        <f>HYPERLINK("https://twitter.com/MiquelBonet_","@MiquelBonet_")</f>
        <v>@MiquelBonet_</v>
      </c>
      <c r="C2227" s="8" t="s">
        <v>8386</v>
      </c>
      <c r="D2227" s="9" t="s">
        <v>8387</v>
      </c>
      <c r="E2227" s="10" t="str">
        <f>HYPERLINK("https://twitter.com/MiquelBonet_/status/1069957428299599873","1069957428299599873")</f>
        <v>1069957428299599873</v>
      </c>
      <c r="F2227" s="12" t="s">
        <v>8388</v>
      </c>
      <c r="G2227" s="11"/>
      <c r="H2227" s="11"/>
      <c r="I2227" s="14">
        <v>2</v>
      </c>
      <c r="J2227" s="14">
        <v>7</v>
      </c>
      <c r="K2227" s="15" t="str">
        <f>HYPERLINK("http://twitter.com","Twitter Web Client")</f>
        <v>Twitter Web Client</v>
      </c>
      <c r="L2227" s="14">
        <v>4214</v>
      </c>
      <c r="M2227" s="14">
        <v>431</v>
      </c>
      <c r="N2227" s="14">
        <v>69</v>
      </c>
      <c r="O2227" s="16"/>
      <c r="P2227" s="6">
        <v>39532.463541666664</v>
      </c>
      <c r="Q2227" s="12" t="s">
        <v>8389</v>
      </c>
      <c r="R2227" s="17" t="s">
        <v>8390</v>
      </c>
      <c r="S2227" s="13" t="s">
        <v>8391</v>
      </c>
      <c r="T2227" s="11"/>
      <c r="U2227" s="10" t="str">
        <f>HYPERLINK("https://pbs.twimg.com/profile_images/1003029869406670848/xucJZsSr.jpg","View")</f>
        <v>View</v>
      </c>
    </row>
    <row r="2228" spans="1:21" ht="30.6">
      <c r="A2228" s="6">
        <v>43438.631712962961</v>
      </c>
      <c r="B2228" s="7" t="str">
        <f>HYPERLINK("https://twitter.com/SomatenM","@SomatenM")</f>
        <v>@SomatenM</v>
      </c>
      <c r="C2228" s="8" t="s">
        <v>7244</v>
      </c>
      <c r="D2228" s="9" t="s">
        <v>7245</v>
      </c>
      <c r="E2228" s="10" t="str">
        <f>HYPERLINK("https://twitter.com/SomatenM/status/1069956909761998848","1069956909761998848")</f>
        <v>1069956909761998848</v>
      </c>
      <c r="F2228" s="13" t="s">
        <v>4681</v>
      </c>
      <c r="G2228" s="11"/>
      <c r="H2228" s="11"/>
      <c r="I2228" s="14">
        <v>0</v>
      </c>
      <c r="J2228" s="14">
        <v>0</v>
      </c>
      <c r="K2228" s="15" t="str">
        <f>HYPERLINK("http://twitter.com/download/android","Twitter for Android")</f>
        <v>Twitter for Android</v>
      </c>
      <c r="L2228" s="14">
        <v>66</v>
      </c>
      <c r="M2228" s="14">
        <v>141</v>
      </c>
      <c r="N2228" s="14">
        <v>1</v>
      </c>
      <c r="O2228" s="16"/>
      <c r="P2228" s="6">
        <v>43351.942905092597</v>
      </c>
      <c r="Q2228" s="12" t="s">
        <v>614</v>
      </c>
      <c r="R2228" s="17" t="s">
        <v>7246</v>
      </c>
      <c r="S2228" s="11"/>
      <c r="T2228" s="11"/>
      <c r="U2228" s="10" t="str">
        <f>HYPERLINK("https://pbs.twimg.com/profile_images/1038529806017732613/YcbPOm7G.jpg","View")</f>
        <v>View</v>
      </c>
    </row>
    <row r="2229" spans="1:21" ht="30.6">
      <c r="A2229" s="6">
        <v>43438.63113425926</v>
      </c>
      <c r="B2229" s="7" t="str">
        <f>HYPERLINK("https://twitter.com/Nopoessere","@Nopoessere")</f>
        <v>@Nopoessere</v>
      </c>
      <c r="C2229" s="8" t="s">
        <v>7247</v>
      </c>
      <c r="D2229" s="9" t="s">
        <v>7248</v>
      </c>
      <c r="E2229" s="10" t="str">
        <f>HYPERLINK("https://twitter.com/Nopoessere/status/1069956699572920320","1069956699572920320")</f>
        <v>1069956699572920320</v>
      </c>
      <c r="F2229" s="13" t="s">
        <v>7251</v>
      </c>
      <c r="G2229" s="11"/>
      <c r="H2229" s="11"/>
      <c r="I2229" s="14">
        <v>0</v>
      </c>
      <c r="J2229" s="14">
        <v>0</v>
      </c>
      <c r="K2229" s="15" t="str">
        <f>HYPERLINK("https://mobile.twitter.com","Twitter Lite")</f>
        <v>Twitter Lite</v>
      </c>
      <c r="L2229" s="14">
        <v>97</v>
      </c>
      <c r="M2229" s="14">
        <v>0</v>
      </c>
      <c r="N2229" s="14">
        <v>3</v>
      </c>
      <c r="O2229" s="16"/>
      <c r="P2229" s="6">
        <v>42788.541562500002</v>
      </c>
      <c r="Q2229" s="12" t="s">
        <v>7252</v>
      </c>
      <c r="R2229" s="17" t="s">
        <v>7253</v>
      </c>
      <c r="S2229" s="11"/>
      <c r="T2229" s="11"/>
      <c r="U2229" s="10" t="str">
        <f>HYPERLINK("https://pbs.twimg.com/profile_images/834373426664054786/Xe13Xm7q.jpg","View")</f>
        <v>View</v>
      </c>
    </row>
    <row r="2230" spans="1:21" ht="40.799999999999997">
      <c r="A2230" s="6">
        <v>43438.630613425921</v>
      </c>
      <c r="B2230" s="7" t="str">
        <f>HYPERLINK("https://twitter.com/EspeAguirretxe","@EspeAguirretxe")</f>
        <v>@EspeAguirretxe</v>
      </c>
      <c r="C2230" s="8" t="s">
        <v>7254</v>
      </c>
      <c r="D2230" s="9" t="s">
        <v>7255</v>
      </c>
      <c r="E2230" s="10" t="str">
        <f>HYPERLINK("https://twitter.com/EspeAguirretxe/status/1069956509956747265","1069956509956747265")</f>
        <v>1069956509956747265</v>
      </c>
      <c r="F2230" s="11"/>
      <c r="G2230" s="11"/>
      <c r="H2230" s="11"/>
      <c r="I2230" s="14">
        <v>0</v>
      </c>
      <c r="J2230" s="14">
        <v>0</v>
      </c>
      <c r="K2230" s="15" t="str">
        <f>HYPERLINK("http://twitter.com/download/iphone","Twitter for iPhone")</f>
        <v>Twitter for iPhone</v>
      </c>
      <c r="L2230" s="14">
        <v>160</v>
      </c>
      <c r="M2230" s="14">
        <v>695</v>
      </c>
      <c r="N2230" s="14">
        <v>0</v>
      </c>
      <c r="O2230" s="16"/>
      <c r="P2230" s="6">
        <v>41008.756643518514</v>
      </c>
      <c r="Q2230" s="12" t="s">
        <v>137</v>
      </c>
      <c r="R2230" s="17" t="s">
        <v>7261</v>
      </c>
      <c r="S2230" s="11"/>
      <c r="T2230" s="11"/>
      <c r="U2230" s="10" t="str">
        <f>HYPERLINK("https://pbs.twimg.com/profile_images/2184134576/images.jpg","View")</f>
        <v>View</v>
      </c>
    </row>
    <row r="2231" spans="1:21" ht="30.6">
      <c r="A2231" s="6">
        <v>43438.628645833334</v>
      </c>
      <c r="B2231" s="7" t="str">
        <f>HYPERLINK("https://twitter.com/Carlos1973s","@Carlos1973s")</f>
        <v>@Carlos1973s</v>
      </c>
      <c r="C2231" s="8" t="s">
        <v>7262</v>
      </c>
      <c r="D2231" s="9" t="s">
        <v>7263</v>
      </c>
      <c r="E2231" s="10" t="str">
        <f>HYPERLINK("https://twitter.com/Carlos1973s/status/1069955795943604224","1069955795943604224")</f>
        <v>1069955795943604224</v>
      </c>
      <c r="F2231" s="13" t="s">
        <v>7264</v>
      </c>
      <c r="G2231" s="11"/>
      <c r="H2231" s="11"/>
      <c r="I2231" s="14">
        <v>0</v>
      </c>
      <c r="J2231" s="14">
        <v>0</v>
      </c>
      <c r="K2231" s="15" t="str">
        <f>HYPERLINK("http://twitter.com","Twitter Web Client")</f>
        <v>Twitter Web Client</v>
      </c>
      <c r="L2231" s="14">
        <v>509</v>
      </c>
      <c r="M2231" s="14">
        <v>254</v>
      </c>
      <c r="N2231" s="14">
        <v>8</v>
      </c>
      <c r="O2231" s="16"/>
      <c r="P2231" s="6">
        <v>40304.965243055558</v>
      </c>
      <c r="Q2231" s="12" t="s">
        <v>7265</v>
      </c>
      <c r="R2231" s="17" t="s">
        <v>7267</v>
      </c>
      <c r="S2231" s="11"/>
      <c r="T2231" s="11"/>
      <c r="U2231" s="10" t="str">
        <f>HYPERLINK("https://pbs.twimg.com/profile_images/966827483713757184/idI6vgJQ.jpg","View")</f>
        <v>View</v>
      </c>
    </row>
    <row r="2232" spans="1:21" ht="40.799999999999997">
      <c r="A2232" s="6">
        <v>43438.628564814819</v>
      </c>
      <c r="B2232" s="7" t="str">
        <f>HYPERLINK("https://twitter.com/Mmch831","@Mmch831")</f>
        <v>@Mmch831</v>
      </c>
      <c r="C2232" s="8" t="s">
        <v>7272</v>
      </c>
      <c r="D2232" s="9" t="s">
        <v>7273</v>
      </c>
      <c r="E2232" s="10" t="str">
        <f>HYPERLINK("https://twitter.com/Mmch831/status/1069955766755446784","1069955766755446784")</f>
        <v>1069955766755446784</v>
      </c>
      <c r="F2232" s="11"/>
      <c r="G2232" s="13" t="s">
        <v>7276</v>
      </c>
      <c r="H2232" s="11"/>
      <c r="I2232" s="14">
        <v>5</v>
      </c>
      <c r="J2232" s="14">
        <v>1</v>
      </c>
      <c r="K2232" s="15" t="str">
        <f t="shared" ref="K2232:K2233" si="440">HYPERLINK("http://twitter.com/download/android","Twitter for Android")</f>
        <v>Twitter for Android</v>
      </c>
      <c r="L2232" s="14">
        <v>301</v>
      </c>
      <c r="M2232" s="14">
        <v>554</v>
      </c>
      <c r="N2232" s="14">
        <v>0</v>
      </c>
      <c r="O2232" s="16"/>
      <c r="P2232" s="6">
        <v>43030.587974537033</v>
      </c>
      <c r="Q2232" s="12" t="s">
        <v>7280</v>
      </c>
      <c r="R2232" s="17" t="s">
        <v>7281</v>
      </c>
      <c r="S2232" s="11"/>
      <c r="T2232" s="11"/>
      <c r="U2232" s="10" t="str">
        <f>HYPERLINK("https://pbs.twimg.com/profile_images/922345595968413696/NtMez8b0.jpg","View")</f>
        <v>View</v>
      </c>
    </row>
    <row r="2233" spans="1:21" ht="51">
      <c r="A2233" s="6">
        <v>43438.628298611111</v>
      </c>
      <c r="B2233" s="7" t="str">
        <f>HYPERLINK("https://twitter.com/Robertoerrejota","@Robertoerrejota")</f>
        <v>@Robertoerrejota</v>
      </c>
      <c r="C2233" s="8" t="s">
        <v>7282</v>
      </c>
      <c r="D2233" s="9" t="s">
        <v>7283</v>
      </c>
      <c r="E2233" s="10" t="str">
        <f>HYPERLINK("https://twitter.com/Robertoerrejota/status/1069955671301476352","1069955671301476352")</f>
        <v>1069955671301476352</v>
      </c>
      <c r="F2233" s="11"/>
      <c r="G2233" s="11"/>
      <c r="H2233" s="11"/>
      <c r="I2233" s="14">
        <v>0</v>
      </c>
      <c r="J2233" s="14">
        <v>0</v>
      </c>
      <c r="K2233" s="15" t="str">
        <f t="shared" si="440"/>
        <v>Twitter for Android</v>
      </c>
      <c r="L2233" s="14">
        <v>111</v>
      </c>
      <c r="M2233" s="14">
        <v>145</v>
      </c>
      <c r="N2233" s="14">
        <v>3</v>
      </c>
      <c r="O2233" s="16"/>
      <c r="P2233" s="6">
        <v>40618.860937500001</v>
      </c>
      <c r="Q2233" s="12" t="s">
        <v>7288</v>
      </c>
      <c r="R2233" s="17" t="s">
        <v>7289</v>
      </c>
      <c r="S2233" s="11"/>
      <c r="T2233" s="11"/>
      <c r="U2233" s="10" t="str">
        <f>HYPERLINK("https://pbs.twimg.com/profile_images/923195180949344256/mVigrYDM.jpg","View")</f>
        <v>View</v>
      </c>
    </row>
    <row r="2234" spans="1:21" ht="91.8">
      <c r="A2234" s="6">
        <v>43438.625659722224</v>
      </c>
      <c r="B2234" s="7" t="str">
        <f>HYPERLINK("https://twitter.com/TransUPM","@TransUPM")</f>
        <v>@TransUPM</v>
      </c>
      <c r="C2234" s="8" t="s">
        <v>7291</v>
      </c>
      <c r="D2234" s="9" t="s">
        <v>7292</v>
      </c>
      <c r="E2234" s="10" t="str">
        <f>HYPERLINK("https://twitter.com/TransUPM/status/1069954716854116352","1069954716854116352")</f>
        <v>1069954716854116352</v>
      </c>
      <c r="F2234" s="13" t="s">
        <v>7089</v>
      </c>
      <c r="G2234" s="13" t="s">
        <v>7090</v>
      </c>
      <c r="H2234" s="11"/>
      <c r="I2234" s="14">
        <v>0</v>
      </c>
      <c r="J2234" s="14">
        <v>0</v>
      </c>
      <c r="K2234" s="15" t="str">
        <f>HYPERLINK("http://twitter.com/#!/download/ipad","Twitter for iPad")</f>
        <v>Twitter for iPad</v>
      </c>
      <c r="L2234" s="14">
        <v>742</v>
      </c>
      <c r="M2234" s="14">
        <v>748</v>
      </c>
      <c r="N2234" s="14">
        <v>25</v>
      </c>
      <c r="O2234" s="16"/>
      <c r="P2234" s="6">
        <v>40990.723449074074</v>
      </c>
      <c r="Q2234" s="12" t="s">
        <v>7293</v>
      </c>
      <c r="R2234" s="17" t="s">
        <v>7294</v>
      </c>
      <c r="S2234" s="11"/>
      <c r="T2234" s="11"/>
      <c r="U2234" s="10" t="str">
        <f>HYPERLINK("https://pbs.twimg.com/profile_images/991114054189109250/998-LfOp.jpg","View")</f>
        <v>View</v>
      </c>
    </row>
    <row r="2235" spans="1:21" ht="40.799999999999997">
      <c r="A2235" s="6">
        <v>43438.623472222222</v>
      </c>
      <c r="B2235" s="7" t="str">
        <f>HYPERLINK("https://twitter.com/CurroTroya","@CurroTroya")</f>
        <v>@CurroTroya</v>
      </c>
      <c r="C2235" s="8" t="s">
        <v>331</v>
      </c>
      <c r="D2235" s="9" t="s">
        <v>7297</v>
      </c>
      <c r="E2235" s="10" t="str">
        <f>HYPERLINK("https://twitter.com/CurroTroya/status/1069953921634975748","1069953921634975748")</f>
        <v>1069953921634975748</v>
      </c>
      <c r="F2235" s="12" t="s">
        <v>7301</v>
      </c>
      <c r="G2235" s="11"/>
      <c r="H2235" s="11"/>
      <c r="I2235" s="14">
        <v>1</v>
      </c>
      <c r="J2235" s="14">
        <v>1</v>
      </c>
      <c r="K2235" s="15" t="str">
        <f>HYPERLINK("http://twitter.com/download/iphone","Twitter for iPhone")</f>
        <v>Twitter for iPhone</v>
      </c>
      <c r="L2235" s="14">
        <v>15192</v>
      </c>
      <c r="M2235" s="14">
        <v>6480</v>
      </c>
      <c r="N2235" s="14">
        <v>479</v>
      </c>
      <c r="O2235" s="16"/>
      <c r="P2235" s="6">
        <v>39989.777754629627</v>
      </c>
      <c r="Q2235" s="12" t="s">
        <v>298</v>
      </c>
      <c r="R2235" s="17" t="s">
        <v>333</v>
      </c>
      <c r="S2235" s="13" t="s">
        <v>334</v>
      </c>
      <c r="T2235" s="11"/>
      <c r="U2235" s="10" t="str">
        <f>HYPERLINK("https://pbs.twimg.com/profile_images/1010977003196076033/3hTl853S.jpg","View")</f>
        <v>View</v>
      </c>
    </row>
    <row r="2236" spans="1:21" ht="40.799999999999997">
      <c r="A2236" s="6">
        <v>43438.623090277775</v>
      </c>
      <c r="B2236" s="7" t="str">
        <f>HYPERLINK("https://twitter.com/Vityspain","@Vityspain")</f>
        <v>@Vityspain</v>
      </c>
      <c r="C2236" s="8" t="s">
        <v>7227</v>
      </c>
      <c r="D2236" s="9" t="s">
        <v>7302</v>
      </c>
      <c r="E2236" s="10" t="str">
        <f>HYPERLINK("https://twitter.com/Vityspain/status/1069953783684313088","1069953783684313088")</f>
        <v>1069953783684313088</v>
      </c>
      <c r="F2236" s="13" t="s">
        <v>7305</v>
      </c>
      <c r="G2236" s="13" t="s">
        <v>7306</v>
      </c>
      <c r="H2236" s="11"/>
      <c r="I2236" s="14">
        <v>0</v>
      </c>
      <c r="J2236" s="14">
        <v>0</v>
      </c>
      <c r="K2236" s="15" t="str">
        <f>HYPERLINK("http://twitter.com/download/android","Twitter for Android")</f>
        <v>Twitter for Android</v>
      </c>
      <c r="L2236" s="14">
        <v>2159</v>
      </c>
      <c r="M2236" s="14">
        <v>2129</v>
      </c>
      <c r="N2236" s="14">
        <v>46</v>
      </c>
      <c r="O2236" s="16"/>
      <c r="P2236" s="6">
        <v>40530.921736111108</v>
      </c>
      <c r="Q2236" s="12" t="s">
        <v>137</v>
      </c>
      <c r="R2236" s="17" t="s">
        <v>7231</v>
      </c>
      <c r="S2236" s="11"/>
      <c r="T2236" s="11"/>
      <c r="U2236" s="10" t="str">
        <f>HYPERLINK("https://pbs.twimg.com/profile_images/1071414131906019328/A5h9O2aJ.jpg","View")</f>
        <v>View</v>
      </c>
    </row>
    <row r="2237" spans="1:21" ht="40.799999999999997">
      <c r="A2237" s="6">
        <v>43438.622083333335</v>
      </c>
      <c r="B2237" s="7" t="str">
        <f>HYPERLINK("https://twitter.com/Pablo_Salias","@Pablo_Salias")</f>
        <v>@Pablo_Salias</v>
      </c>
      <c r="C2237" s="8" t="s">
        <v>7027</v>
      </c>
      <c r="D2237" s="9" t="s">
        <v>7311</v>
      </c>
      <c r="E2237" s="10" t="str">
        <f>HYPERLINK("https://twitter.com/Pablo_Salias/status/1069953420595879936","1069953420595879936")</f>
        <v>1069953420595879936</v>
      </c>
      <c r="F2237" s="11"/>
      <c r="G2237" s="13" t="s">
        <v>7312</v>
      </c>
      <c r="H2237" s="11"/>
      <c r="I2237" s="14">
        <v>0</v>
      </c>
      <c r="J2237" s="14">
        <v>0</v>
      </c>
      <c r="K2237" s="15" t="str">
        <f>HYPERLINK("http://twitter.com","Twitter Web Client")</f>
        <v>Twitter Web Client</v>
      </c>
      <c r="L2237" s="14">
        <v>1150</v>
      </c>
      <c r="M2237" s="14">
        <v>1122</v>
      </c>
      <c r="N2237" s="14">
        <v>13</v>
      </c>
      <c r="O2237" s="16"/>
      <c r="P2237" s="6">
        <v>40348.001689814817</v>
      </c>
      <c r="Q2237" s="12" t="s">
        <v>137</v>
      </c>
      <c r="R2237" s="17" t="s">
        <v>7032</v>
      </c>
      <c r="S2237" s="11"/>
      <c r="T2237" s="11"/>
      <c r="U2237" s="10" t="str">
        <f>HYPERLINK("https://pbs.twimg.com/profile_images/1008514819236872193/b63feMMO.jpg","View")</f>
        <v>View</v>
      </c>
    </row>
    <row r="2238" spans="1:21" ht="112.2">
      <c r="A2238" s="6">
        <v>43438.621446759258</v>
      </c>
      <c r="B2238" s="7" t="str">
        <f>HYPERLINK("https://twitter.com/UlisesGamez10","@UlisesGamez10")</f>
        <v>@UlisesGamez10</v>
      </c>
      <c r="C2238" s="8" t="s">
        <v>3569</v>
      </c>
      <c r="D2238" s="9" t="s">
        <v>7316</v>
      </c>
      <c r="E2238" s="10" t="str">
        <f>HYPERLINK("https://twitter.com/UlisesGamez10/status/1069953186230951941","1069953186230951941")</f>
        <v>1069953186230951941</v>
      </c>
      <c r="F2238" s="12" t="s">
        <v>7319</v>
      </c>
      <c r="G2238" s="11"/>
      <c r="H2238" s="11"/>
      <c r="I2238" s="14">
        <v>0</v>
      </c>
      <c r="J2238" s="14">
        <v>0</v>
      </c>
      <c r="K2238" s="15" t="str">
        <f t="shared" ref="K2238:K2239" si="441">HYPERLINK("http://twitter.com/download/android","Twitter for Android")</f>
        <v>Twitter for Android</v>
      </c>
      <c r="L2238" s="14">
        <v>1184</v>
      </c>
      <c r="M2238" s="14">
        <v>5002</v>
      </c>
      <c r="N2238" s="14">
        <v>0</v>
      </c>
      <c r="O2238" s="16"/>
      <c r="P2238" s="6">
        <v>43190.59783564815</v>
      </c>
      <c r="Q2238" s="12" t="s">
        <v>3571</v>
      </c>
      <c r="R2238" s="17" t="s">
        <v>3572</v>
      </c>
      <c r="S2238" s="11"/>
      <c r="T2238" s="11"/>
      <c r="U2238" s="10" t="str">
        <f>HYPERLINK("https://pbs.twimg.com/profile_images/1068881444196499456/MCgxp2WR.jpg","View")</f>
        <v>View</v>
      </c>
    </row>
    <row r="2239" spans="1:21" ht="20.399999999999999">
      <c r="A2239" s="6">
        <v>43438.621331018519</v>
      </c>
      <c r="B2239" s="7" t="str">
        <f>HYPERLINK("https://twitter.com/CsFigueres","@CsFigueres")</f>
        <v>@CsFigueres</v>
      </c>
      <c r="C2239" s="8" t="s">
        <v>7324</v>
      </c>
      <c r="D2239" s="9" t="s">
        <v>7326</v>
      </c>
      <c r="E2239" s="10" t="str">
        <f>HYPERLINK("https://twitter.com/CsFigueres/status/1069953148310208513","1069953148310208513")</f>
        <v>1069953148310208513</v>
      </c>
      <c r="F2239" s="11"/>
      <c r="G2239" s="13" t="s">
        <v>7327</v>
      </c>
      <c r="H2239" s="11"/>
      <c r="I2239" s="14">
        <v>6</v>
      </c>
      <c r="J2239" s="14">
        <v>9</v>
      </c>
      <c r="K2239" s="15" t="str">
        <f t="shared" si="441"/>
        <v>Twitter for Android</v>
      </c>
      <c r="L2239" s="14">
        <v>2189</v>
      </c>
      <c r="M2239" s="14">
        <v>903</v>
      </c>
      <c r="N2239" s="14">
        <v>29</v>
      </c>
      <c r="O2239" s="16"/>
      <c r="P2239" s="6">
        <v>41683.796342592592</v>
      </c>
      <c r="Q2239" s="12" t="s">
        <v>7328</v>
      </c>
      <c r="R2239" s="17" t="s">
        <v>7329</v>
      </c>
      <c r="S2239" s="11"/>
      <c r="T2239" s="11"/>
      <c r="U2239" s="10" t="str">
        <f>HYPERLINK("https://pbs.twimg.com/profile_images/908683355121704962/8QXWtImw.jpg","View")</f>
        <v>View</v>
      </c>
    </row>
    <row r="2240" spans="1:21" ht="51">
      <c r="A2240" s="6">
        <v>43438.620949074073</v>
      </c>
      <c r="B2240" s="7" t="str">
        <f>HYPERLINK("https://twitter.com/LaManagerFC","@LaManagerFC")</f>
        <v>@LaManagerFC</v>
      </c>
      <c r="C2240" s="8" t="s">
        <v>7332</v>
      </c>
      <c r="D2240" s="9" t="s">
        <v>7333</v>
      </c>
      <c r="E2240" s="10" t="str">
        <f>HYPERLINK("https://twitter.com/LaManagerFC/status/1069953008723734528","1069953008723734528")</f>
        <v>1069953008723734528</v>
      </c>
      <c r="F2240" s="13" t="s">
        <v>7336</v>
      </c>
      <c r="G2240" s="13" t="s">
        <v>7338</v>
      </c>
      <c r="H2240" s="11"/>
      <c r="I2240" s="14">
        <v>1</v>
      </c>
      <c r="J2240" s="14">
        <v>0</v>
      </c>
      <c r="K2240" s="15" t="str">
        <f>HYPERLINK("http://twitter.com","Twitter Web Client")</f>
        <v>Twitter Web Client</v>
      </c>
      <c r="L2240" s="14">
        <v>60</v>
      </c>
      <c r="M2240" s="14">
        <v>61</v>
      </c>
      <c r="N2240" s="14">
        <v>0</v>
      </c>
      <c r="O2240" s="16"/>
      <c r="P2240" s="6">
        <v>42970.016828703709</v>
      </c>
      <c r="Q2240" s="12" t="s">
        <v>60</v>
      </c>
      <c r="R2240" s="17" t="s">
        <v>7341</v>
      </c>
      <c r="S2240" s="13" t="s">
        <v>7343</v>
      </c>
      <c r="T2240" s="11"/>
      <c r="U2240" s="10" t="str">
        <f>HYPERLINK("https://pbs.twimg.com/profile_images/932731979669364738/Zhn8Up3A.jpg","View")</f>
        <v>View</v>
      </c>
    </row>
    <row r="2241" spans="1:21" ht="30.6">
      <c r="A2241" s="6">
        <v>43438.620740740742</v>
      </c>
      <c r="B2241" s="7" t="str">
        <f t="shared" ref="B2241:B2242" si="442">HYPERLINK("https://twitter.com/denunciaseguros","@denunciaseguros")</f>
        <v>@denunciaseguros</v>
      </c>
      <c r="C2241" s="8" t="s">
        <v>7344</v>
      </c>
      <c r="D2241" s="9" t="s">
        <v>7345</v>
      </c>
      <c r="E2241" s="10" t="str">
        <f>HYPERLINK("https://twitter.com/denunciaseguros/status/1069952933448572929","1069952933448572929")</f>
        <v>1069952933448572929</v>
      </c>
      <c r="F2241" s="11"/>
      <c r="G2241" s="11"/>
      <c r="H2241" s="11"/>
      <c r="I2241" s="14">
        <v>0</v>
      </c>
      <c r="J2241" s="14">
        <v>0</v>
      </c>
      <c r="K2241" s="15" t="str">
        <f t="shared" ref="K2241:K2245" si="443">HYPERLINK("http://twitter.com/download/android","Twitter for Android")</f>
        <v>Twitter for Android</v>
      </c>
      <c r="L2241" s="14">
        <v>2764</v>
      </c>
      <c r="M2241" s="14">
        <v>3317</v>
      </c>
      <c r="N2241" s="14">
        <v>13</v>
      </c>
      <c r="O2241" s="16"/>
      <c r="P2241" s="6">
        <v>40719.063425925924</v>
      </c>
      <c r="Q2241" s="12" t="s">
        <v>7348</v>
      </c>
      <c r="R2241" s="17" t="s">
        <v>7349</v>
      </c>
      <c r="S2241" s="11"/>
      <c r="T2241" s="11"/>
      <c r="U2241" s="10" t="str">
        <f t="shared" ref="U2241:U2242" si="444">HYPERLINK("https://pbs.twimg.com/profile_images/977204700360724480/dWxwQvVX.jpg","View")</f>
        <v>View</v>
      </c>
    </row>
    <row r="2242" spans="1:21" ht="30.6">
      <c r="A2242" s="6">
        <v>43438.620335648149</v>
      </c>
      <c r="B2242" s="7" t="str">
        <f t="shared" si="442"/>
        <v>@denunciaseguros</v>
      </c>
      <c r="C2242" s="8" t="s">
        <v>7344</v>
      </c>
      <c r="D2242" s="9" t="s">
        <v>7351</v>
      </c>
      <c r="E2242" s="10" t="str">
        <f>HYPERLINK("https://twitter.com/denunciaseguros/status/1069952785179914240","1069952785179914240")</f>
        <v>1069952785179914240</v>
      </c>
      <c r="F2242" s="11"/>
      <c r="G2242" s="11"/>
      <c r="H2242" s="11"/>
      <c r="I2242" s="14">
        <v>0</v>
      </c>
      <c r="J2242" s="14">
        <v>0</v>
      </c>
      <c r="K2242" s="15" t="str">
        <f t="shared" si="443"/>
        <v>Twitter for Android</v>
      </c>
      <c r="L2242" s="14">
        <v>2764</v>
      </c>
      <c r="M2242" s="14">
        <v>3317</v>
      </c>
      <c r="N2242" s="14">
        <v>13</v>
      </c>
      <c r="O2242" s="16"/>
      <c r="P2242" s="6">
        <v>40719.063425925924</v>
      </c>
      <c r="Q2242" s="12" t="s">
        <v>7348</v>
      </c>
      <c r="R2242" s="17" t="s">
        <v>7349</v>
      </c>
      <c r="S2242" s="11"/>
      <c r="T2242" s="11"/>
      <c r="U2242" s="10" t="str">
        <f t="shared" si="444"/>
        <v>View</v>
      </c>
    </row>
    <row r="2243" spans="1:21" ht="40.799999999999997">
      <c r="A2243" s="6">
        <v>43438.62027777778</v>
      </c>
      <c r="B2243" s="7" t="str">
        <f>HYPERLINK("https://twitter.com/nachogarci2005","@nachogarci2005")</f>
        <v>@nachogarci2005</v>
      </c>
      <c r="C2243" s="8" t="s">
        <v>7356</v>
      </c>
      <c r="D2243" s="9" t="s">
        <v>7357</v>
      </c>
      <c r="E2243" s="10" t="str">
        <f>HYPERLINK("https://twitter.com/nachogarci2005/status/1069952762748854272","1069952762748854272")</f>
        <v>1069952762748854272</v>
      </c>
      <c r="F2243" s="11"/>
      <c r="G2243" s="11"/>
      <c r="H2243" s="11"/>
      <c r="I2243" s="14">
        <v>0</v>
      </c>
      <c r="J2243" s="14">
        <v>0</v>
      </c>
      <c r="K2243" s="15" t="str">
        <f t="shared" si="443"/>
        <v>Twitter for Android</v>
      </c>
      <c r="L2243" s="14">
        <v>2104</v>
      </c>
      <c r="M2243" s="14">
        <v>2155</v>
      </c>
      <c r="N2243" s="14">
        <v>14</v>
      </c>
      <c r="O2243" s="16"/>
      <c r="P2243" s="6">
        <v>40238.042928240742</v>
      </c>
      <c r="Q2243" s="12" t="s">
        <v>4257</v>
      </c>
      <c r="R2243" s="17" t="s">
        <v>7358</v>
      </c>
      <c r="S2243" s="13" t="s">
        <v>7359</v>
      </c>
      <c r="T2243" s="11"/>
      <c r="U2243" s="10" t="str">
        <f>HYPERLINK("https://pbs.twimg.com/profile_images/1005633457240719361/OJcoJrmK.jpg","View")</f>
        <v>View</v>
      </c>
    </row>
    <row r="2244" spans="1:21" ht="61.2">
      <c r="A2244" s="6">
        <v>43438.619618055556</v>
      </c>
      <c r="B2244" s="7" t="str">
        <f>HYPERLINK("https://twitter.com/msocial_esp","@msocial_esp")</f>
        <v>@msocial_esp</v>
      </c>
      <c r="C2244" s="8" t="s">
        <v>7360</v>
      </c>
      <c r="D2244" s="9" t="s">
        <v>7361</v>
      </c>
      <c r="E2244" s="10" t="str">
        <f>HYPERLINK("https://twitter.com/msocial_esp/status/1069952524952764417","1069952524952764417")</f>
        <v>1069952524952764417</v>
      </c>
      <c r="F2244" s="11"/>
      <c r="G2244" s="11"/>
      <c r="H2244" s="11"/>
      <c r="I2244" s="14">
        <v>0</v>
      </c>
      <c r="J2244" s="14">
        <v>0</v>
      </c>
      <c r="K2244" s="15" t="str">
        <f t="shared" si="443"/>
        <v>Twitter for Android</v>
      </c>
      <c r="L2244" s="14">
        <v>286</v>
      </c>
      <c r="M2244" s="14">
        <v>663</v>
      </c>
      <c r="N2244" s="14">
        <v>5</v>
      </c>
      <c r="O2244" s="16"/>
      <c r="P2244" s="6">
        <v>41156.037418981483</v>
      </c>
      <c r="Q2244" s="11"/>
      <c r="R2244" s="17" t="s">
        <v>7362</v>
      </c>
      <c r="S2244" s="13" t="s">
        <v>7363</v>
      </c>
      <c r="T2244" s="11"/>
      <c r="U2244" s="10" t="str">
        <f>HYPERLINK("https://pbs.twimg.com/profile_images/2575843898/mlfg2522j08948lle80q.jpeg","View")</f>
        <v>View</v>
      </c>
    </row>
    <row r="2245" spans="1:21" ht="51">
      <c r="A2245" s="6">
        <v>43438.618379629625</v>
      </c>
      <c r="B2245" s="7" t="str">
        <f>HYPERLINK("https://twitter.com/CdV_Sevilla","@CdV_Sevilla")</f>
        <v>@CdV_Sevilla</v>
      </c>
      <c r="C2245" s="8" t="s">
        <v>7365</v>
      </c>
      <c r="D2245" s="9" t="s">
        <v>7366</v>
      </c>
      <c r="E2245" s="10" t="str">
        <f>HYPERLINK("https://twitter.com/CdV_Sevilla/status/1069952076158042112","1069952076158042112")</f>
        <v>1069952076158042112</v>
      </c>
      <c r="F2245" s="13" t="s">
        <v>7119</v>
      </c>
      <c r="G2245" s="11"/>
      <c r="H2245" s="11"/>
      <c r="I2245" s="14">
        <v>6</v>
      </c>
      <c r="J2245" s="14">
        <v>3</v>
      </c>
      <c r="K2245" s="15" t="str">
        <f t="shared" si="443"/>
        <v>Twitter for Android</v>
      </c>
      <c r="L2245" s="14">
        <v>1543</v>
      </c>
      <c r="M2245" s="14">
        <v>956</v>
      </c>
      <c r="N2245" s="14">
        <v>34</v>
      </c>
      <c r="O2245" s="16"/>
      <c r="P2245" s="6">
        <v>42413.679826388892</v>
      </c>
      <c r="Q2245" s="12" t="s">
        <v>969</v>
      </c>
      <c r="R2245" s="17" t="s">
        <v>7367</v>
      </c>
      <c r="S2245" s="13" t="s">
        <v>7368</v>
      </c>
      <c r="T2245" s="11"/>
      <c r="U2245" s="10" t="str">
        <f>HYPERLINK("https://pbs.twimg.com/profile_images/957983565756747776/zk42RW9r.jpg","View")</f>
        <v>View</v>
      </c>
    </row>
    <row r="2246" spans="1:21" ht="51">
      <c r="A2246" s="6">
        <v>43438.618229166663</v>
      </c>
      <c r="B2246" s="7" t="str">
        <f>HYPERLINK("https://twitter.com/anaaa_rm","@anaaa_rm")</f>
        <v>@anaaa_rm</v>
      </c>
      <c r="C2246" s="8" t="s">
        <v>7371</v>
      </c>
      <c r="D2246" s="9" t="s">
        <v>7373</v>
      </c>
      <c r="E2246" s="10" t="str">
        <f>HYPERLINK("https://twitter.com/anaaa_rm/status/1069952023544643584","1069952023544643584")</f>
        <v>1069952023544643584</v>
      </c>
      <c r="F2246" s="13" t="s">
        <v>7377</v>
      </c>
      <c r="G2246" s="13" t="s">
        <v>7378</v>
      </c>
      <c r="H2246" s="11"/>
      <c r="I2246" s="14">
        <v>1</v>
      </c>
      <c r="J2246" s="14">
        <v>4</v>
      </c>
      <c r="K2246" s="15" t="str">
        <f t="shared" ref="K2246:K2247" si="445">HYPERLINK("http://twitter.com/download/iphone","Twitter for iPhone")</f>
        <v>Twitter for iPhone</v>
      </c>
      <c r="L2246" s="14">
        <v>678</v>
      </c>
      <c r="M2246" s="14">
        <v>2263</v>
      </c>
      <c r="N2246" s="14">
        <v>13</v>
      </c>
      <c r="O2246" s="16"/>
      <c r="P2246" s="6">
        <v>40565.715775462959</v>
      </c>
      <c r="Q2246" s="11"/>
      <c r="R2246" s="18"/>
      <c r="S2246" s="11"/>
      <c r="T2246" s="11"/>
      <c r="U2246" s="10" t="str">
        <f>HYPERLINK("https://pbs.twimg.com/profile_images/1034125380569980933/AT0sDnj5.jpg","View")</f>
        <v>View</v>
      </c>
    </row>
    <row r="2247" spans="1:21" ht="40.799999999999997">
      <c r="A2247" s="6">
        <v>43438.617361111115</v>
      </c>
      <c r="B2247" s="7" t="str">
        <f>HYPERLINK("https://twitter.com/Luna40490735","@Luna40490735")</f>
        <v>@Luna40490735</v>
      </c>
      <c r="C2247" s="8" t="s">
        <v>8392</v>
      </c>
      <c r="D2247" s="9" t="s">
        <v>8393</v>
      </c>
      <c r="E2247" s="10" t="str">
        <f>HYPERLINK("https://twitter.com/Luna40490735/status/1069951709349318657","1069951709349318657")</f>
        <v>1069951709349318657</v>
      </c>
      <c r="F2247" s="11"/>
      <c r="G2247" s="11"/>
      <c r="H2247" s="11"/>
      <c r="I2247" s="14">
        <v>0</v>
      </c>
      <c r="J2247" s="14">
        <v>0</v>
      </c>
      <c r="K2247" s="15" t="str">
        <f t="shared" si="445"/>
        <v>Twitter for iPhone</v>
      </c>
      <c r="L2247" s="14">
        <v>72</v>
      </c>
      <c r="M2247" s="14">
        <v>317</v>
      </c>
      <c r="N2247" s="14">
        <v>0</v>
      </c>
      <c r="O2247" s="16"/>
      <c r="P2247" s="6">
        <v>43422.970532407402</v>
      </c>
      <c r="Q2247" s="12" t="s">
        <v>137</v>
      </c>
      <c r="R2247" s="17" t="s">
        <v>8394</v>
      </c>
      <c r="S2247" s="11"/>
      <c r="T2247" s="11"/>
      <c r="U2247" s="10" t="str">
        <f>HYPERLINK("https://pbs.twimg.com/profile_images/1064789682159083521/OjXcJvGn.jpg","View")</f>
        <v>View</v>
      </c>
    </row>
    <row r="2248" spans="1:21" ht="40.799999999999997">
      <c r="A2248" s="6">
        <v>43438.6169212963</v>
      </c>
      <c r="B2248" s="7" t="str">
        <f>HYPERLINK("https://twitter.com/Josesegoviapa","@Josesegoviapa")</f>
        <v>@Josesegoviapa</v>
      </c>
      <c r="C2248" s="8" t="s">
        <v>7380</v>
      </c>
      <c r="D2248" s="9" t="s">
        <v>7381</v>
      </c>
      <c r="E2248" s="10" t="str">
        <f>HYPERLINK("https://twitter.com/Josesegoviapa/status/1069951547927347201","1069951547927347201")</f>
        <v>1069951547927347201</v>
      </c>
      <c r="F2248" s="13" t="s">
        <v>4681</v>
      </c>
      <c r="G2248" s="11"/>
      <c r="H2248" s="11"/>
      <c r="I2248" s="14">
        <v>0</v>
      </c>
      <c r="J2248" s="14">
        <v>0</v>
      </c>
      <c r="K2248" s="15" t="str">
        <f>HYPERLINK("http://twitter.com/download/android","Twitter for Android")</f>
        <v>Twitter for Android</v>
      </c>
      <c r="L2248" s="14">
        <v>1731</v>
      </c>
      <c r="M2248" s="14">
        <v>273</v>
      </c>
      <c r="N2248" s="14">
        <v>52</v>
      </c>
      <c r="O2248" s="16"/>
      <c r="P2248" s="6">
        <v>40924.857129629629</v>
      </c>
      <c r="Q2248" s="12" t="s">
        <v>29</v>
      </c>
      <c r="R2248" s="17" t="s">
        <v>7383</v>
      </c>
      <c r="S2248" s="11"/>
      <c r="T2248" s="11"/>
      <c r="U2248" s="10" t="str">
        <f>HYPERLINK("https://pbs.twimg.com/profile_images/982382366567157761/jI2TuouY.jpg","View")</f>
        <v>View</v>
      </c>
    </row>
    <row r="2249" spans="1:21" ht="13.2">
      <c r="A2249" s="6">
        <v>43438.615972222222</v>
      </c>
      <c r="B2249" s="7" t="str">
        <f>HYPERLINK("https://twitter.com/En_Blau_es","@En_Blau_es")</f>
        <v>@En_Blau_es</v>
      </c>
      <c r="C2249" s="8" t="s">
        <v>4549</v>
      </c>
      <c r="D2249" s="9" t="s">
        <v>8395</v>
      </c>
      <c r="E2249" s="10" t="str">
        <f>HYPERLINK("https://twitter.com/En_Blau_es/status/1069951203755192321","1069951203755192321")</f>
        <v>1069951203755192321</v>
      </c>
      <c r="F2249" s="13" t="s">
        <v>8396</v>
      </c>
      <c r="G2249" s="11"/>
      <c r="H2249" s="11"/>
      <c r="I2249" s="14">
        <v>0</v>
      </c>
      <c r="J2249" s="14">
        <v>0</v>
      </c>
      <c r="K2249" s="15" t="str">
        <f>HYPERLINK("https://about.twitter.com/products/tweetdeck","TweetDeck")</f>
        <v>TweetDeck</v>
      </c>
      <c r="L2249" s="14">
        <v>389</v>
      </c>
      <c r="M2249" s="14">
        <v>98</v>
      </c>
      <c r="N2249" s="14">
        <v>4</v>
      </c>
      <c r="O2249" s="16"/>
      <c r="P2249" s="6">
        <v>42824.566701388889</v>
      </c>
      <c r="Q2249" s="11"/>
      <c r="R2249" s="18"/>
      <c r="S2249" s="13" t="s">
        <v>4551</v>
      </c>
      <c r="T2249" s="11"/>
      <c r="U2249" s="10" t="str">
        <f>HYPERLINK("https://pbs.twimg.com/profile_images/849621382346534912/rD-7feps.jpg","View")</f>
        <v>View</v>
      </c>
    </row>
    <row r="2250" spans="1:21" ht="30.6">
      <c r="A2250" s="6">
        <v>43438.614942129629</v>
      </c>
      <c r="B2250" s="7" t="str">
        <f>HYPERLINK("https://twitter.com/ensata","@ensata")</f>
        <v>@ensata</v>
      </c>
      <c r="C2250" s="8" t="s">
        <v>1092</v>
      </c>
      <c r="D2250" s="9" t="s">
        <v>8397</v>
      </c>
      <c r="E2250" s="10" t="str">
        <f>HYPERLINK("https://twitter.com/ensata/status/1069950829833191425","1069950829833191425")</f>
        <v>1069950829833191425</v>
      </c>
      <c r="F2250" s="11"/>
      <c r="G2250" s="13" t="s">
        <v>8398</v>
      </c>
      <c r="H2250" s="11"/>
      <c r="I2250" s="14">
        <v>1</v>
      </c>
      <c r="J2250" s="14">
        <v>1</v>
      </c>
      <c r="K2250" s="15" t="str">
        <f>HYPERLINK("https://mobile.twitter.com","Twitter Lite")</f>
        <v>Twitter Lite</v>
      </c>
      <c r="L2250" s="14">
        <v>14292</v>
      </c>
      <c r="M2250" s="14">
        <v>13334</v>
      </c>
      <c r="N2250" s="14">
        <v>153</v>
      </c>
      <c r="O2250" s="16"/>
      <c r="P2250" s="6">
        <v>39908.488946759258</v>
      </c>
      <c r="Q2250" s="12" t="s">
        <v>1098</v>
      </c>
      <c r="R2250" s="17" t="s">
        <v>1099</v>
      </c>
      <c r="S2250" s="13" t="s">
        <v>1100</v>
      </c>
      <c r="T2250" s="11"/>
      <c r="U2250" s="10" t="str">
        <f>HYPERLINK("https://pbs.twimg.com/profile_images/2791683192/4237c175fd0e3a07d1b5a37bbebf41ab.jpeg","View")</f>
        <v>View</v>
      </c>
    </row>
    <row r="2251" spans="1:21" ht="30.6">
      <c r="A2251" s="6">
        <v>43438.613206018519</v>
      </c>
      <c r="B2251" s="7" t="str">
        <f>HYPERLINK("https://twitter.com/VidALieNs","@VidALieNs")</f>
        <v>@VidALieNs</v>
      </c>
      <c r="C2251" s="8" t="s">
        <v>1307</v>
      </c>
      <c r="D2251" s="9" t="s">
        <v>8399</v>
      </c>
      <c r="E2251" s="10" t="str">
        <f>HYPERLINK("https://twitter.com/VidALieNs/status/1069950201211904002","1069950201211904002")</f>
        <v>1069950201211904002</v>
      </c>
      <c r="F2251" s="11"/>
      <c r="G2251" s="11"/>
      <c r="H2251" s="11"/>
      <c r="I2251" s="14">
        <v>4</v>
      </c>
      <c r="J2251" s="14">
        <v>6</v>
      </c>
      <c r="K2251" s="15" t="str">
        <f>HYPERLINK("http://twitter.com/download/android","Twitter for Android")</f>
        <v>Twitter for Android</v>
      </c>
      <c r="L2251" s="14">
        <v>11623</v>
      </c>
      <c r="M2251" s="14">
        <v>9295</v>
      </c>
      <c r="N2251" s="14">
        <v>36</v>
      </c>
      <c r="O2251" s="16"/>
      <c r="P2251" s="6">
        <v>40767.610150462962</v>
      </c>
      <c r="Q2251" s="12" t="s">
        <v>581</v>
      </c>
      <c r="R2251" s="17" t="s">
        <v>1309</v>
      </c>
      <c r="S2251" s="11"/>
      <c r="T2251" s="11"/>
      <c r="U2251" s="10" t="str">
        <f>HYPERLINK("https://pbs.twimg.com/profile_images/979309252329263105/5-ln10Cs.jpg","View")</f>
        <v>View</v>
      </c>
    </row>
    <row r="2252" spans="1:21" ht="51">
      <c r="A2252" s="6">
        <v>43438.610879629632</v>
      </c>
      <c r="B2252" s="7" t="str">
        <f>HYPERLINK("https://twitter.com/ABJ6691","@ABJ6691")</f>
        <v>@ABJ6691</v>
      </c>
      <c r="C2252" s="8" t="s">
        <v>8400</v>
      </c>
      <c r="D2252" s="9" t="s">
        <v>8401</v>
      </c>
      <c r="E2252" s="10" t="str">
        <f>HYPERLINK("https://twitter.com/ABJ6691/status/1069949357678608385","1069949357678608385")</f>
        <v>1069949357678608385</v>
      </c>
      <c r="F2252" s="11"/>
      <c r="G2252" s="11"/>
      <c r="H2252" s="11"/>
      <c r="I2252" s="14">
        <v>0</v>
      </c>
      <c r="J2252" s="14">
        <v>2</v>
      </c>
      <c r="K2252" s="15" t="str">
        <f t="shared" ref="K2252:K2253" si="446">HYPERLINK("http://twitter.com","Twitter Web Client")</f>
        <v>Twitter Web Client</v>
      </c>
      <c r="L2252" s="14">
        <v>1190</v>
      </c>
      <c r="M2252" s="14">
        <v>1037</v>
      </c>
      <c r="N2252" s="14">
        <v>13</v>
      </c>
      <c r="O2252" s="16"/>
      <c r="P2252" s="6">
        <v>41788.552662037036</v>
      </c>
      <c r="Q2252" s="11"/>
      <c r="R2252" s="17" t="s">
        <v>8402</v>
      </c>
      <c r="S2252" s="11"/>
      <c r="T2252" s="11"/>
      <c r="U2252" s="10" t="str">
        <f>HYPERLINK("https://pbs.twimg.com/profile_images/998485520349970432/4qWdVkQL.jpg","View")</f>
        <v>View</v>
      </c>
    </row>
    <row r="2253" spans="1:21" ht="20.399999999999999">
      <c r="A2253" s="6">
        <v>43438.610509259262</v>
      </c>
      <c r="B2253" s="7" t="str">
        <f>HYPERLINK("https://twitter.com/inmoaverycom","@inmoaverycom")</f>
        <v>@inmoaverycom</v>
      </c>
      <c r="C2253" s="21" t="s">
        <v>8403</v>
      </c>
      <c r="D2253" s="9" t="s">
        <v>8404</v>
      </c>
      <c r="E2253" s="10" t="str">
        <f>HYPERLINK("https://twitter.com/inmoaverycom/status/1069949225558032385","1069949225558032385")</f>
        <v>1069949225558032385</v>
      </c>
      <c r="F2253" s="13" t="s">
        <v>8405</v>
      </c>
      <c r="G2253" s="11"/>
      <c r="H2253" s="11"/>
      <c r="I2253" s="14">
        <v>0</v>
      </c>
      <c r="J2253" s="14">
        <v>0</v>
      </c>
      <c r="K2253" s="15" t="str">
        <f t="shared" si="446"/>
        <v>Twitter Web Client</v>
      </c>
      <c r="L2253" s="14">
        <v>769</v>
      </c>
      <c r="M2253" s="14">
        <v>1966</v>
      </c>
      <c r="N2253" s="14">
        <v>11</v>
      </c>
      <c r="O2253" s="16"/>
      <c r="P2253" s="6">
        <v>40871.533506944441</v>
      </c>
      <c r="Q2253" s="12" t="s">
        <v>8406</v>
      </c>
      <c r="R2253" s="17" t="s">
        <v>8407</v>
      </c>
      <c r="S2253" s="13" t="s">
        <v>8408</v>
      </c>
      <c r="T2253" s="11"/>
      <c r="U2253" s="10" t="str">
        <f>HYPERLINK("https://pbs.twimg.com/profile_images/537680086862798848/f8XEPU_F.jpeg","View")</f>
        <v>View</v>
      </c>
    </row>
    <row r="2254" spans="1:21" ht="40.799999999999997">
      <c r="A2254" s="6">
        <v>43438.606446759259</v>
      </c>
      <c r="B2254" s="7" t="str">
        <f>HYPERLINK("https://twitter.com/makucasado","@makucasado")</f>
        <v>@makucasado</v>
      </c>
      <c r="C2254" s="8" t="s">
        <v>8409</v>
      </c>
      <c r="D2254" s="9" t="s">
        <v>8410</v>
      </c>
      <c r="E2254" s="10" t="str">
        <f>HYPERLINK("https://twitter.com/makucasado/status/1069947752052899841","1069947752052899841")</f>
        <v>1069947752052899841</v>
      </c>
      <c r="F2254" s="11"/>
      <c r="G2254" s="11"/>
      <c r="H2254" s="11"/>
      <c r="I2254" s="14">
        <v>2</v>
      </c>
      <c r="J2254" s="14">
        <v>6</v>
      </c>
      <c r="K2254" s="15" t="str">
        <f>HYPERLINK("https://mobile.twitter.com","Twitter Lite")</f>
        <v>Twitter Lite</v>
      </c>
      <c r="L2254" s="14">
        <v>818</v>
      </c>
      <c r="M2254" s="14">
        <v>1995</v>
      </c>
      <c r="N2254" s="14">
        <v>5</v>
      </c>
      <c r="O2254" s="16"/>
      <c r="P2254" s="6">
        <v>43010.536319444444</v>
      </c>
      <c r="Q2254" s="11"/>
      <c r="R2254" s="17" t="s">
        <v>8411</v>
      </c>
      <c r="S2254" s="11"/>
      <c r="T2254" s="11"/>
      <c r="U2254" s="10" t="str">
        <f>HYPERLINK("https://pbs.twimg.com/profile_images/1070934003803394049/-YkNarnN.jpg","View")</f>
        <v>View</v>
      </c>
    </row>
    <row r="2255" spans="1:21" ht="51">
      <c r="A2255" s="6">
        <v>43438.606249999997</v>
      </c>
      <c r="B2255" s="7" t="str">
        <f>HYPERLINK("https://twitter.com/cspescados","@cspescados")</f>
        <v>@cspescados</v>
      </c>
      <c r="C2255" s="8" t="s">
        <v>600</v>
      </c>
      <c r="D2255" s="9" t="s">
        <v>8412</v>
      </c>
      <c r="E2255" s="10" t="str">
        <f>HYPERLINK("https://twitter.com/cspescados/status/1069947680523210752","1069947680523210752")</f>
        <v>1069947680523210752</v>
      </c>
      <c r="F2255" s="12" t="s">
        <v>8413</v>
      </c>
      <c r="G2255" s="11"/>
      <c r="H2255" s="11"/>
      <c r="I2255" s="14">
        <v>25</v>
      </c>
      <c r="J2255" s="14">
        <v>30</v>
      </c>
      <c r="K2255" s="15" t="str">
        <f>HYPERLINK("https://about.twitter.com/products/tweetdeck","TweetDeck")</f>
        <v>TweetDeck</v>
      </c>
      <c r="L2255" s="14">
        <v>14978</v>
      </c>
      <c r="M2255" s="14">
        <v>818</v>
      </c>
      <c r="N2255" s="14">
        <v>128</v>
      </c>
      <c r="O2255" s="16"/>
      <c r="P2255" s="6">
        <v>42097.732581018514</v>
      </c>
      <c r="Q2255" s="12" t="s">
        <v>606</v>
      </c>
      <c r="R2255" s="17" t="s">
        <v>607</v>
      </c>
      <c r="S2255" s="13" t="s">
        <v>608</v>
      </c>
      <c r="T2255" s="11"/>
      <c r="U2255" s="10" t="str">
        <f>HYPERLINK("https://pbs.twimg.com/profile_images/600268890959126528/aC9kvTK_.jpg","View")</f>
        <v>View</v>
      </c>
    </row>
    <row r="2256" spans="1:21" ht="71.400000000000006">
      <c r="A2256" s="6">
        <v>43438.605474537035</v>
      </c>
      <c r="B2256" s="7" t="str">
        <f>HYPERLINK("https://twitter.com/jmconejo","@jmconejo")</f>
        <v>@jmconejo</v>
      </c>
      <c r="C2256" s="8" t="s">
        <v>259</v>
      </c>
      <c r="D2256" s="9" t="s">
        <v>8414</v>
      </c>
      <c r="E2256" s="10" t="str">
        <f>HYPERLINK("https://twitter.com/jmconejo/status/1069947399534194688","1069947399534194688")</f>
        <v>1069947399534194688</v>
      </c>
      <c r="F2256" s="12" t="s">
        <v>8415</v>
      </c>
      <c r="G2256" s="11"/>
      <c r="H2256" s="11"/>
      <c r="I2256" s="14">
        <v>1</v>
      </c>
      <c r="J2256" s="14">
        <v>0</v>
      </c>
      <c r="K2256" s="15" t="str">
        <f>HYPERLINK("http://twitter.com/download/iphone","Twitter for iPhone")</f>
        <v>Twitter for iPhone</v>
      </c>
      <c r="L2256" s="14">
        <v>2299</v>
      </c>
      <c r="M2256" s="14">
        <v>2870</v>
      </c>
      <c r="N2256" s="14">
        <v>77</v>
      </c>
      <c r="O2256" s="16"/>
      <c r="P2256" s="6">
        <v>40571.872662037036</v>
      </c>
      <c r="Q2256" s="12" t="s">
        <v>265</v>
      </c>
      <c r="R2256" s="17" t="s">
        <v>266</v>
      </c>
      <c r="S2256" s="11"/>
      <c r="T2256" s="11"/>
      <c r="U2256" s="10" t="str">
        <f>HYPERLINK("https://pbs.twimg.com/profile_images/1068583848068427777/43FNkCwo.jpg","View")</f>
        <v>View</v>
      </c>
    </row>
    <row r="2257" spans="1:21" ht="61.2">
      <c r="A2257" s="6">
        <v>43438.605439814812</v>
      </c>
      <c r="B2257" s="7" t="str">
        <f>HYPERLINK("https://twitter.com/jerythebest","@jerythebest")</f>
        <v>@jerythebest</v>
      </c>
      <c r="C2257" s="8" t="s">
        <v>5163</v>
      </c>
      <c r="D2257" s="9" t="s">
        <v>7384</v>
      </c>
      <c r="E2257" s="10" t="str">
        <f>HYPERLINK("https://twitter.com/jerythebest/status/1069947389312671744","1069947389312671744")</f>
        <v>1069947389312671744</v>
      </c>
      <c r="F2257" s="11"/>
      <c r="G2257" s="11"/>
      <c r="H2257" s="11"/>
      <c r="I2257" s="14">
        <v>0</v>
      </c>
      <c r="J2257" s="14">
        <v>1</v>
      </c>
      <c r="K2257" s="15" t="str">
        <f>HYPERLINK("http://twitter.com/download/android","Twitter for Android")</f>
        <v>Twitter for Android</v>
      </c>
      <c r="L2257" s="14">
        <v>433</v>
      </c>
      <c r="M2257" s="14">
        <v>928</v>
      </c>
      <c r="N2257" s="14">
        <v>1</v>
      </c>
      <c r="O2257" s="16"/>
      <c r="P2257" s="6">
        <v>41078.875949074078</v>
      </c>
      <c r="Q2257" s="11"/>
      <c r="R2257" s="17" t="s">
        <v>5168</v>
      </c>
      <c r="S2257" s="11"/>
      <c r="T2257" s="11"/>
      <c r="U2257" s="10" t="str">
        <f>HYPERLINK("https://pbs.twimg.com/profile_images/609469283924606977/nQoewCZj.jpg","View")</f>
        <v>View</v>
      </c>
    </row>
    <row r="2258" spans="1:21" ht="40.799999999999997">
      <c r="A2258" s="6">
        <v>43438.604467592595</v>
      </c>
      <c r="B2258" s="7" t="str">
        <f>HYPERLINK("https://twitter.com/Carolito83","@Carolito83")</f>
        <v>@Carolito83</v>
      </c>
      <c r="C2258" s="8" t="s">
        <v>7385</v>
      </c>
      <c r="D2258" s="9" t="s">
        <v>7386</v>
      </c>
      <c r="E2258" s="10" t="str">
        <f>HYPERLINK("https://twitter.com/Carolito83/status/1069947034717827072","1069947034717827072")</f>
        <v>1069947034717827072</v>
      </c>
      <c r="F2258" s="12" t="s">
        <v>7387</v>
      </c>
      <c r="G2258" s="11"/>
      <c r="H2258" s="11"/>
      <c r="I2258" s="14">
        <v>0</v>
      </c>
      <c r="J2258" s="14">
        <v>0</v>
      </c>
      <c r="K2258" s="15" t="str">
        <f>HYPERLINK("http://twitter.com/download/iphone","Twitter for iPhone")</f>
        <v>Twitter for iPhone</v>
      </c>
      <c r="L2258" s="14">
        <v>381</v>
      </c>
      <c r="M2258" s="14">
        <v>1511</v>
      </c>
      <c r="N2258" s="14">
        <v>26</v>
      </c>
      <c r="O2258" s="16"/>
      <c r="P2258" s="6">
        <v>40626.681145833332</v>
      </c>
      <c r="Q2258" s="11"/>
      <c r="R2258" s="17" t="s">
        <v>7391</v>
      </c>
      <c r="S2258" s="13" t="s">
        <v>7392</v>
      </c>
      <c r="T2258" s="11"/>
      <c r="U2258" s="10" t="str">
        <f>HYPERLINK("https://pbs.twimg.com/profile_images/477399563587059712/ULr0Iclt.jpeg","View")</f>
        <v>View</v>
      </c>
    </row>
    <row r="2259" spans="1:21" ht="30.6">
      <c r="A2259" s="6">
        <v>43438.604398148149</v>
      </c>
      <c r="B2259" s="7" t="str">
        <f>HYPERLINK("https://twitter.com/aricrui2000","@aricrui2000")</f>
        <v>@aricrui2000</v>
      </c>
      <c r="C2259" s="8" t="s">
        <v>8416</v>
      </c>
      <c r="D2259" s="9" t="s">
        <v>8417</v>
      </c>
      <c r="E2259" s="10" t="str">
        <f>HYPERLINK("https://twitter.com/aricrui2000/status/1069947009661054976","1069947009661054976")</f>
        <v>1069947009661054976</v>
      </c>
      <c r="F2259" s="13" t="s">
        <v>8418</v>
      </c>
      <c r="G2259" s="13" t="s">
        <v>8419</v>
      </c>
      <c r="H2259" s="11"/>
      <c r="I2259" s="14">
        <v>0</v>
      </c>
      <c r="J2259" s="14">
        <v>1</v>
      </c>
      <c r="K2259" s="15" t="str">
        <f>HYPERLINK("http://twitter.com/download/android","Twitter for Android")</f>
        <v>Twitter for Android</v>
      </c>
      <c r="L2259" s="14">
        <v>593</v>
      </c>
      <c r="M2259" s="14">
        <v>312</v>
      </c>
      <c r="N2259" s="14">
        <v>10</v>
      </c>
      <c r="O2259" s="16"/>
      <c r="P2259" s="6">
        <v>41537.65221064815</v>
      </c>
      <c r="Q2259" s="12" t="s">
        <v>8420</v>
      </c>
      <c r="R2259" s="17" t="s">
        <v>8421</v>
      </c>
      <c r="S2259" s="13" t="s">
        <v>8422</v>
      </c>
      <c r="T2259" s="11"/>
      <c r="U2259" s="10" t="str">
        <f>HYPERLINK("https://pbs.twimg.com/profile_images/1069923872789721093/o0sdJWVC.jpg","View")</f>
        <v>View</v>
      </c>
    </row>
    <row r="2260" spans="1:21" ht="40.799999999999997">
      <c r="A2260" s="6">
        <v>43438.604259259257</v>
      </c>
      <c r="B2260" s="7" t="str">
        <f>HYPERLINK("https://twitter.com/capmirez1","@capmirez1")</f>
        <v>@capmirez1</v>
      </c>
      <c r="C2260" s="8" t="s">
        <v>7395</v>
      </c>
      <c r="D2260" s="9" t="s">
        <v>7398</v>
      </c>
      <c r="E2260" s="10" t="str">
        <f>HYPERLINK("https://twitter.com/capmirez1/status/1069946957853007872","1069946957853007872")</f>
        <v>1069946957853007872</v>
      </c>
      <c r="F2260" s="13" t="s">
        <v>7400</v>
      </c>
      <c r="G2260" s="11"/>
      <c r="H2260" s="11"/>
      <c r="I2260" s="14">
        <v>0</v>
      </c>
      <c r="J2260" s="14">
        <v>0</v>
      </c>
      <c r="K2260" s="15" t="str">
        <f>HYPERLINK("http://twibble.io","Twibble.io")</f>
        <v>Twibble.io</v>
      </c>
      <c r="L2260" s="14">
        <v>171</v>
      </c>
      <c r="M2260" s="14">
        <v>62</v>
      </c>
      <c r="N2260" s="14">
        <v>5</v>
      </c>
      <c r="O2260" s="16"/>
      <c r="P2260" s="6">
        <v>42059.532847222217</v>
      </c>
      <c r="Q2260" s="12" t="s">
        <v>7404</v>
      </c>
      <c r="R2260" s="17" t="s">
        <v>7405</v>
      </c>
      <c r="S2260" s="11"/>
      <c r="T2260" s="11"/>
      <c r="U2260" s="10" t="str">
        <f>HYPERLINK("https://pbs.twimg.com/profile_images/997711722503782401/4osWsabx.jpg","View")</f>
        <v>View</v>
      </c>
    </row>
    <row r="2261" spans="1:21" ht="51">
      <c r="A2261" s="6">
        <v>43438.60361111111</v>
      </c>
      <c r="B2261" s="7" t="str">
        <f>HYPERLINK("https://twitter.com/_Gafas_y_reloj_","@_Gafas_y_reloj_")</f>
        <v>@_Gafas_y_reloj_</v>
      </c>
      <c r="C2261" s="8" t="s">
        <v>284</v>
      </c>
      <c r="D2261" s="9" t="s">
        <v>7406</v>
      </c>
      <c r="E2261" s="10" t="str">
        <f>HYPERLINK("https://twitter.com/_Gafas_y_reloj_/status/1069946725471830017","1069946725471830017")</f>
        <v>1069946725471830017</v>
      </c>
      <c r="F2261" s="11"/>
      <c r="G2261" s="13" t="s">
        <v>7407</v>
      </c>
      <c r="H2261" s="11"/>
      <c r="I2261" s="14">
        <v>5</v>
      </c>
      <c r="J2261" s="14">
        <v>8</v>
      </c>
      <c r="K2261" s="15" t="str">
        <f t="shared" ref="K2261:K2263" si="447">HYPERLINK("http://twitter.com","Twitter Web Client")</f>
        <v>Twitter Web Client</v>
      </c>
      <c r="L2261" s="14">
        <v>11839</v>
      </c>
      <c r="M2261" s="14">
        <v>718</v>
      </c>
      <c r="N2261" s="14">
        <v>194</v>
      </c>
      <c r="O2261" s="16"/>
      <c r="P2261" s="6">
        <v>40803.430173611108</v>
      </c>
      <c r="Q2261" s="12" t="s">
        <v>288</v>
      </c>
      <c r="R2261" s="17" t="s">
        <v>289</v>
      </c>
      <c r="S2261" s="11"/>
      <c r="T2261" s="11"/>
      <c r="U2261" s="10" t="str">
        <f>HYPERLINK("https://pbs.twimg.com/profile_images/923940667965038593/LEd9tLut.jpg","View")</f>
        <v>View</v>
      </c>
    </row>
    <row r="2262" spans="1:21" ht="30.6">
      <c r="A2262" s="6">
        <v>43438.603541666671</v>
      </c>
      <c r="B2262" s="7" t="str">
        <f>HYPERLINK("https://twitter.com/jandenauer","@jandenauer")</f>
        <v>@jandenauer</v>
      </c>
      <c r="C2262" s="8" t="s">
        <v>7415</v>
      </c>
      <c r="D2262" s="9" t="s">
        <v>7416</v>
      </c>
      <c r="E2262" s="10" t="str">
        <f>HYPERLINK("https://twitter.com/jandenauer/status/1069946699928485888","1069946699928485888")</f>
        <v>1069946699928485888</v>
      </c>
      <c r="F2262" s="13" t="s">
        <v>7377</v>
      </c>
      <c r="G2262" s="11"/>
      <c r="H2262" s="11"/>
      <c r="I2262" s="14">
        <v>0</v>
      </c>
      <c r="J2262" s="14">
        <v>1</v>
      </c>
      <c r="K2262" s="15" t="str">
        <f t="shared" si="447"/>
        <v>Twitter Web Client</v>
      </c>
      <c r="L2262" s="14">
        <v>58</v>
      </c>
      <c r="M2262" s="14">
        <v>307</v>
      </c>
      <c r="N2262" s="14">
        <v>2</v>
      </c>
      <c r="O2262" s="16"/>
      <c r="P2262" s="6">
        <v>40929.970775462964</v>
      </c>
      <c r="Q2262" s="11"/>
      <c r="R2262" s="17" t="s">
        <v>7420</v>
      </c>
      <c r="S2262" s="11"/>
      <c r="T2262" s="11"/>
      <c r="U2262" s="10" t="str">
        <f>HYPERLINK("https://pbs.twimg.com/profile_images/2298302830/pmfha8cah92q7rcndnmg.jpeg","View")</f>
        <v>View</v>
      </c>
    </row>
    <row r="2263" spans="1:21" ht="51">
      <c r="A2263" s="6">
        <v>43438.602638888886</v>
      </c>
      <c r="B2263" s="7" t="str">
        <f>HYPERLINK("https://twitter.com/Joseonuba84","@Joseonuba84")</f>
        <v>@Joseonuba84</v>
      </c>
      <c r="C2263" s="8" t="s">
        <v>7432</v>
      </c>
      <c r="D2263" s="9" t="s">
        <v>7433</v>
      </c>
      <c r="E2263" s="10" t="str">
        <f>HYPERLINK("https://twitter.com/Joseonuba84/status/1069946371648774149","1069946371648774149")</f>
        <v>1069946371648774149</v>
      </c>
      <c r="F2263" s="11"/>
      <c r="G2263" s="11"/>
      <c r="H2263" s="11"/>
      <c r="I2263" s="14">
        <v>0</v>
      </c>
      <c r="J2263" s="14">
        <v>0</v>
      </c>
      <c r="K2263" s="15" t="str">
        <f t="shared" si="447"/>
        <v>Twitter Web Client</v>
      </c>
      <c r="L2263" s="14">
        <v>17</v>
      </c>
      <c r="M2263" s="14">
        <v>307</v>
      </c>
      <c r="N2263" s="14">
        <v>0</v>
      </c>
      <c r="O2263" s="16"/>
      <c r="P2263" s="6">
        <v>42132.785879629635</v>
      </c>
      <c r="Q2263" s="12" t="s">
        <v>1803</v>
      </c>
      <c r="R2263" s="18"/>
      <c r="S2263" s="11"/>
      <c r="T2263" s="11"/>
      <c r="U2263" s="19" t="s">
        <v>629</v>
      </c>
    </row>
    <row r="2264" spans="1:21" ht="51">
      <c r="A2264" s="6">
        <v>43438.598958333328</v>
      </c>
      <c r="B2264" s="7" t="str">
        <f>HYPERLINK("https://twitter.com/GeneralManki","@GeneralManki")</f>
        <v>@GeneralManki</v>
      </c>
      <c r="C2264" s="8" t="s">
        <v>7142</v>
      </c>
      <c r="D2264" s="9" t="s">
        <v>8426</v>
      </c>
      <c r="E2264" s="10" t="str">
        <f>HYPERLINK("https://twitter.com/GeneralManki/status/1069945039047004161","1069945039047004161")</f>
        <v>1069945039047004161</v>
      </c>
      <c r="F2264" s="11"/>
      <c r="G2264" s="11"/>
      <c r="H2264" s="11"/>
      <c r="I2264" s="14">
        <v>0</v>
      </c>
      <c r="J2264" s="14">
        <v>1</v>
      </c>
      <c r="K2264" s="15" t="str">
        <f>HYPERLINK("http://twitter.com/download/android","Twitter for Android")</f>
        <v>Twitter for Android</v>
      </c>
      <c r="L2264" s="14">
        <v>950</v>
      </c>
      <c r="M2264" s="14">
        <v>1122</v>
      </c>
      <c r="N2264" s="14">
        <v>16</v>
      </c>
      <c r="O2264" s="16"/>
      <c r="P2264" s="6">
        <v>40565.692083333335</v>
      </c>
      <c r="Q2264" s="12" t="s">
        <v>83</v>
      </c>
      <c r="R2264" s="17" t="s">
        <v>7147</v>
      </c>
      <c r="S2264" s="13" t="s">
        <v>7148</v>
      </c>
      <c r="T2264" s="11"/>
      <c r="U2264" s="10" t="str">
        <f>HYPERLINK("https://pbs.twimg.com/profile_images/443335494990954496/5rNVUYmt.jpeg","View")</f>
        <v>View</v>
      </c>
    </row>
    <row r="2265" spans="1:21" ht="40.799999999999997">
      <c r="A2265" s="6">
        <v>43438.595555555556</v>
      </c>
      <c r="B2265" s="7" t="str">
        <f>HYPERLINK("https://twitter.com/CsMollet","@CsMollet")</f>
        <v>@CsMollet</v>
      </c>
      <c r="C2265" s="8" t="s">
        <v>3450</v>
      </c>
      <c r="D2265" s="9" t="s">
        <v>8427</v>
      </c>
      <c r="E2265" s="10" t="str">
        <f>HYPERLINK("https://twitter.com/CsMollet/status/1069943805959393280","1069943805959393280")</f>
        <v>1069943805959393280</v>
      </c>
      <c r="F2265" s="11"/>
      <c r="G2265" s="13" t="s">
        <v>8428</v>
      </c>
      <c r="H2265" s="11"/>
      <c r="I2265" s="14">
        <v>19</v>
      </c>
      <c r="J2265" s="14">
        <v>25</v>
      </c>
      <c r="K2265" s="15" t="str">
        <f>HYPERLINK("https://mobile.twitter.com","Twitter Lite")</f>
        <v>Twitter Lite</v>
      </c>
      <c r="L2265" s="14">
        <v>1934</v>
      </c>
      <c r="M2265" s="14">
        <v>588</v>
      </c>
      <c r="N2265" s="14">
        <v>31</v>
      </c>
      <c r="O2265" s="16"/>
      <c r="P2265" s="6">
        <v>41677.379953703705</v>
      </c>
      <c r="Q2265" s="12" t="s">
        <v>3456</v>
      </c>
      <c r="R2265" s="17" t="s">
        <v>3457</v>
      </c>
      <c r="S2265" s="11"/>
      <c r="T2265" s="11"/>
      <c r="U2265" s="10" t="str">
        <f>HYPERLINK("https://pbs.twimg.com/profile_images/906479414891999237/DMNitU_1.jpg","View")</f>
        <v>View</v>
      </c>
    </row>
    <row r="2266" spans="1:21" ht="40.799999999999997">
      <c r="A2266" s="6">
        <v>43438.58866898148</v>
      </c>
      <c r="B2266" s="7" t="str">
        <f>HYPERLINK("https://twitter.com/Jorge_Vilches","@Jorge_Vilches")</f>
        <v>@Jorge_Vilches</v>
      </c>
      <c r="C2266" s="8" t="s">
        <v>8429</v>
      </c>
      <c r="D2266" s="9" t="s">
        <v>8430</v>
      </c>
      <c r="E2266" s="10" t="str">
        <f>HYPERLINK("https://twitter.com/Jorge_Vilches/status/1069941311657132037","1069941311657132037")</f>
        <v>1069941311657132037</v>
      </c>
      <c r="F2266" s="11"/>
      <c r="G2266" s="13" t="s">
        <v>8431</v>
      </c>
      <c r="H2266" s="11"/>
      <c r="I2266" s="14">
        <v>4</v>
      </c>
      <c r="J2266" s="14">
        <v>9</v>
      </c>
      <c r="K2266" s="15" t="str">
        <f>HYPERLINK("http://twitter.com/download/android","Twitter for Android")</f>
        <v>Twitter for Android</v>
      </c>
      <c r="L2266" s="14">
        <v>6385</v>
      </c>
      <c r="M2266" s="14">
        <v>1429</v>
      </c>
      <c r="N2266" s="14">
        <v>115</v>
      </c>
      <c r="O2266" s="16"/>
      <c r="P2266" s="6">
        <v>40658.619849537034</v>
      </c>
      <c r="Q2266" s="12" t="s">
        <v>29</v>
      </c>
      <c r="R2266" s="17" t="s">
        <v>8432</v>
      </c>
      <c r="S2266" s="11"/>
      <c r="T2266" s="11"/>
      <c r="U2266" s="10" t="str">
        <f>HYPERLINK("https://pbs.twimg.com/profile_images/795722966529142784/7Uxkgv09.jpg","View")</f>
        <v>View</v>
      </c>
    </row>
    <row r="2267" spans="1:21" ht="91.8">
      <c r="A2267" s="6">
        <v>43438.587372685186</v>
      </c>
      <c r="B2267" s="7" t="str">
        <f>HYPERLINK("https://twitter.com/protestona1","@protestona1")</f>
        <v>@protestona1</v>
      </c>
      <c r="C2267" s="8" t="s">
        <v>8433</v>
      </c>
      <c r="D2267" s="9" t="s">
        <v>8434</v>
      </c>
      <c r="E2267" s="10" t="str">
        <f>HYPERLINK("https://twitter.com/protestona1/status/1069940839693119488","1069940839693119488")</f>
        <v>1069940839693119488</v>
      </c>
      <c r="F2267" s="12" t="s">
        <v>6915</v>
      </c>
      <c r="G2267" s="11"/>
      <c r="H2267" s="11"/>
      <c r="I2267" s="14">
        <v>219</v>
      </c>
      <c r="J2267" s="14">
        <v>466</v>
      </c>
      <c r="K2267" s="15" t="str">
        <f>HYPERLINK("http://twitter.com/download/iphone","Twitter for iPhone")</f>
        <v>Twitter for iPhone</v>
      </c>
      <c r="L2267" s="14">
        <v>151623</v>
      </c>
      <c r="M2267" s="14">
        <v>2214</v>
      </c>
      <c r="N2267" s="14">
        <v>810</v>
      </c>
      <c r="O2267" s="16"/>
      <c r="P2267" s="6">
        <v>41352.82136574074</v>
      </c>
      <c r="Q2267" s="12" t="s">
        <v>477</v>
      </c>
      <c r="R2267" s="17" t="s">
        <v>8435</v>
      </c>
      <c r="S2267" s="13" t="s">
        <v>8436</v>
      </c>
      <c r="T2267" s="11"/>
      <c r="U2267" s="10" t="str">
        <f>HYPERLINK("https://pbs.twimg.com/profile_images/1067148427048423431/NQxeU_SX.jpg","View")</f>
        <v>View</v>
      </c>
    </row>
    <row r="2268" spans="1:21" ht="51">
      <c r="A2268" s="6">
        <v>43438.58666666667</v>
      </c>
      <c r="B2268" s="7" t="str">
        <f>HYPERLINK("https://twitter.com/marcelmono","@marcelmono")</f>
        <v>@marcelmono</v>
      </c>
      <c r="C2268" s="8" t="s">
        <v>8437</v>
      </c>
      <c r="D2268" s="9" t="s">
        <v>8438</v>
      </c>
      <c r="E2268" s="10" t="str">
        <f>HYPERLINK("https://twitter.com/marcelmono/status/1069940584218025984","1069940584218025984")</f>
        <v>1069940584218025984</v>
      </c>
      <c r="F2268" s="12" t="s">
        <v>7683</v>
      </c>
      <c r="G2268" s="11"/>
      <c r="H2268" s="11"/>
      <c r="I2268" s="14">
        <v>0</v>
      </c>
      <c r="J2268" s="14">
        <v>0</v>
      </c>
      <c r="K2268" s="15" t="str">
        <f>HYPERLINK("http://twitter.com/download/android","Twitter for Android")</f>
        <v>Twitter for Android</v>
      </c>
      <c r="L2268" s="14">
        <v>64</v>
      </c>
      <c r="M2268" s="14">
        <v>79</v>
      </c>
      <c r="N2268" s="14">
        <v>1</v>
      </c>
      <c r="O2268" s="16"/>
      <c r="P2268" s="6">
        <v>40613.770243055558</v>
      </c>
      <c r="Q2268" s="12" t="s">
        <v>8439</v>
      </c>
      <c r="R2268" s="17" t="s">
        <v>8440</v>
      </c>
      <c r="S2268" s="11"/>
      <c r="T2268" s="11"/>
      <c r="U2268" s="10" t="str">
        <f>HYPERLINK("https://pbs.twimg.com/profile_images/1024934183356063744/olBLp3XU.jpg","View")</f>
        <v>View</v>
      </c>
    </row>
    <row r="2269" spans="1:21" ht="40.799999999999997">
      <c r="A2269" s="6">
        <v>43438.583298611113</v>
      </c>
      <c r="B2269" s="7" t="str">
        <f>HYPERLINK("https://twitter.com/Albert_Rivera","@Albert_Rivera")</f>
        <v>@Albert_Rivera</v>
      </c>
      <c r="C2269" s="8" t="s">
        <v>443</v>
      </c>
      <c r="D2269" s="9" t="s">
        <v>8441</v>
      </c>
      <c r="E2269" s="10" t="str">
        <f>HYPERLINK("https://twitter.com/Albert_Rivera/status/1069939365437194240","1069939365437194240")</f>
        <v>1069939365437194240</v>
      </c>
      <c r="F2269" s="13" t="s">
        <v>8442</v>
      </c>
      <c r="G2269" s="11"/>
      <c r="H2269" s="11"/>
      <c r="I2269" s="14">
        <v>872</v>
      </c>
      <c r="J2269" s="14">
        <v>1759</v>
      </c>
      <c r="K2269" s="15" t="str">
        <f>HYPERLINK("http://twitter.com/download/iphone","Twitter for iPhone")</f>
        <v>Twitter for iPhone</v>
      </c>
      <c r="L2269" s="14">
        <v>1075808</v>
      </c>
      <c r="M2269" s="14">
        <v>2547</v>
      </c>
      <c r="N2269" s="14">
        <v>5114</v>
      </c>
      <c r="O2269" s="19" t="s">
        <v>42</v>
      </c>
      <c r="P2269" s="6">
        <v>40205.748171296298</v>
      </c>
      <c r="Q2269" s="12" t="s">
        <v>137</v>
      </c>
      <c r="R2269" s="17" t="s">
        <v>450</v>
      </c>
      <c r="S2269" s="13" t="s">
        <v>452</v>
      </c>
      <c r="T2269" s="11"/>
      <c r="U2269" s="10" t="str">
        <f>HYPERLINK("https://pbs.twimg.com/profile_images/1030708936779988993/RncDM4EZ.jpg","View")</f>
        <v>View</v>
      </c>
    </row>
    <row r="2270" spans="1:21" ht="40.799999999999997">
      <c r="A2270" s="6">
        <v>43438.581354166672</v>
      </c>
      <c r="B2270" s="7" t="str">
        <f>HYPERLINK("https://twitter.com/AndresSanto_","@AndresSanto_")</f>
        <v>@AndresSanto_</v>
      </c>
      <c r="C2270" s="8" t="s">
        <v>8443</v>
      </c>
      <c r="D2270" s="9" t="s">
        <v>8444</v>
      </c>
      <c r="E2270" s="10" t="str">
        <f>HYPERLINK("https://twitter.com/AndresSanto_/status/1069938657778376704","1069938657778376704")</f>
        <v>1069938657778376704</v>
      </c>
      <c r="F2270" s="13" t="s">
        <v>8445</v>
      </c>
      <c r="G2270" s="11"/>
      <c r="H2270" s="11"/>
      <c r="I2270" s="14">
        <v>1</v>
      </c>
      <c r="J2270" s="14">
        <v>0</v>
      </c>
      <c r="K2270" s="15" t="str">
        <f>HYPERLINK("http://twitter.com","Twitter Web Client")</f>
        <v>Twitter Web Client</v>
      </c>
      <c r="L2270" s="14">
        <v>2347</v>
      </c>
      <c r="M2270" s="14">
        <v>1778</v>
      </c>
      <c r="N2270" s="14">
        <v>68</v>
      </c>
      <c r="O2270" s="16"/>
      <c r="P2270" s="6">
        <v>40773.75135416667</v>
      </c>
      <c r="Q2270" s="12" t="s">
        <v>35</v>
      </c>
      <c r="R2270" s="17" t="s">
        <v>8446</v>
      </c>
      <c r="S2270" s="11"/>
      <c r="T2270" s="11"/>
      <c r="U2270" s="10" t="str">
        <f>HYPERLINK("https://pbs.twimg.com/profile_images/1062028217861709824/wyaW6mQk.jpg","View")</f>
        <v>View</v>
      </c>
    </row>
    <row r="2271" spans="1:21" ht="20.399999999999999">
      <c r="A2271" s="6">
        <v>43438.581261574072</v>
      </c>
      <c r="B2271" s="7" t="str">
        <f>HYPERLINK("https://twitter.com/Javilon5","@Javilon5")</f>
        <v>@Javilon5</v>
      </c>
      <c r="C2271" s="8" t="s">
        <v>8447</v>
      </c>
      <c r="D2271" s="9" t="s">
        <v>8448</v>
      </c>
      <c r="E2271" s="10" t="str">
        <f>HYPERLINK("https://twitter.com/Javilon5/status/1069938627403243520","1069938627403243520")</f>
        <v>1069938627403243520</v>
      </c>
      <c r="F2271" s="11"/>
      <c r="G2271" s="11"/>
      <c r="H2271" s="11"/>
      <c r="I2271" s="14">
        <v>0</v>
      </c>
      <c r="J2271" s="14">
        <v>0</v>
      </c>
      <c r="K2271" s="15" t="str">
        <f>HYPERLINK("http://twitter.com/download/android","Twitter for Android")</f>
        <v>Twitter for Android</v>
      </c>
      <c r="L2271" s="14">
        <v>988</v>
      </c>
      <c r="M2271" s="14">
        <v>465</v>
      </c>
      <c r="N2271" s="14">
        <v>41</v>
      </c>
      <c r="O2271" s="16"/>
      <c r="P2271" s="6">
        <v>40117.664965277778</v>
      </c>
      <c r="Q2271" s="11"/>
      <c r="R2271" s="17" t="s">
        <v>8449</v>
      </c>
      <c r="S2271" s="11"/>
      <c r="T2271" s="11"/>
      <c r="U2271" s="10" t="str">
        <f>HYPERLINK("https://pbs.twimg.com/profile_images/814878995/GetAttachment.aspx.jpeg","View")</f>
        <v>View</v>
      </c>
    </row>
    <row r="2272" spans="1:21" ht="30.6">
      <c r="A2272" s="6">
        <v>43438.58121527778</v>
      </c>
      <c r="B2272" s="7" t="str">
        <f>HYPERLINK("https://twitter.com/RafaHumildad","@RafaHumildad")</f>
        <v>@RafaHumildad</v>
      </c>
      <c r="C2272" s="8" t="s">
        <v>5699</v>
      </c>
      <c r="D2272" s="9" t="s">
        <v>7437</v>
      </c>
      <c r="E2272" s="10" t="str">
        <f>HYPERLINK("https://twitter.com/RafaHumildad/status/1069938608189136896","1069938608189136896")</f>
        <v>1069938608189136896</v>
      </c>
      <c r="F2272" s="11"/>
      <c r="G2272" s="11"/>
      <c r="H2272" s="11"/>
      <c r="I2272" s="14">
        <v>0</v>
      </c>
      <c r="J2272" s="14">
        <v>0</v>
      </c>
      <c r="K2272" s="15" t="str">
        <f>HYPERLINK("http://twitter.com","Twitter Web Client")</f>
        <v>Twitter Web Client</v>
      </c>
      <c r="L2272" s="14">
        <v>995</v>
      </c>
      <c r="M2272" s="14">
        <v>1154</v>
      </c>
      <c r="N2272" s="14">
        <v>15</v>
      </c>
      <c r="O2272" s="16"/>
      <c r="P2272" s="6">
        <v>40140.140729166669</v>
      </c>
      <c r="Q2272" s="11"/>
      <c r="R2272" s="17" t="s">
        <v>5701</v>
      </c>
      <c r="S2272" s="11"/>
      <c r="T2272" s="11"/>
      <c r="U2272" s="10" t="str">
        <f>HYPERLINK("https://pbs.twimg.com/profile_images/949426795161489411/C_pVNSMb.jpg","View")</f>
        <v>View</v>
      </c>
    </row>
    <row r="2273" spans="1:21" ht="40.799999999999997">
      <c r="A2273" s="6">
        <v>43438.580358796295</v>
      </c>
      <c r="B2273" s="7" t="str">
        <f>HYPERLINK("https://twitter.com/miguel_delarosa","@miguel_delarosa")</f>
        <v>@miguel_delarosa</v>
      </c>
      <c r="C2273" s="8" t="s">
        <v>3976</v>
      </c>
      <c r="D2273" s="9" t="s">
        <v>7438</v>
      </c>
      <c r="E2273" s="10" t="str">
        <f>HYPERLINK("https://twitter.com/miguel_delarosa/status/1069938298901143552","1069938298901143552")</f>
        <v>1069938298901143552</v>
      </c>
      <c r="F2273" s="11"/>
      <c r="G2273" s="13" t="s">
        <v>7442</v>
      </c>
      <c r="H2273" s="11"/>
      <c r="I2273" s="14">
        <v>31</v>
      </c>
      <c r="J2273" s="14">
        <v>24</v>
      </c>
      <c r="K2273" s="15" t="str">
        <f>HYPERLINK("http://twitter.com/download/iphone","Twitter for iPhone")</f>
        <v>Twitter for iPhone</v>
      </c>
      <c r="L2273" s="14">
        <v>7153</v>
      </c>
      <c r="M2273" s="14">
        <v>4653</v>
      </c>
      <c r="N2273" s="14">
        <v>117</v>
      </c>
      <c r="O2273" s="16"/>
      <c r="P2273" s="6">
        <v>40223.789398148147</v>
      </c>
      <c r="Q2273" s="12" t="s">
        <v>3978</v>
      </c>
      <c r="R2273" s="17" t="s">
        <v>3979</v>
      </c>
      <c r="S2273" s="13" t="s">
        <v>3980</v>
      </c>
      <c r="T2273" s="11"/>
      <c r="U2273" s="10" t="str">
        <f>HYPERLINK("https://pbs.twimg.com/profile_images/1069404348583682048/-eUTnG_7.jpg","View")</f>
        <v>View</v>
      </c>
    </row>
    <row r="2274" spans="1:21" ht="40.799999999999997">
      <c r="A2274" s="6">
        <v>43438.579456018517</v>
      </c>
      <c r="B2274" s="7" t="str">
        <f>HYPERLINK("https://twitter.com/Gontzi","@Gontzi")</f>
        <v>@Gontzi</v>
      </c>
      <c r="C2274" s="8" t="s">
        <v>7449</v>
      </c>
      <c r="D2274" s="9" t="s">
        <v>7450</v>
      </c>
      <c r="E2274" s="10" t="str">
        <f>HYPERLINK("https://twitter.com/Gontzi/status/1069937970222895105","1069937970222895105")</f>
        <v>1069937970222895105</v>
      </c>
      <c r="F2274" s="11"/>
      <c r="G2274" s="11"/>
      <c r="H2274" s="11"/>
      <c r="I2274" s="14">
        <v>0</v>
      </c>
      <c r="J2274" s="14">
        <v>0</v>
      </c>
      <c r="K2274" s="15" t="str">
        <f>HYPERLINK("http://twitter.com/download/android","Twitter for Android")</f>
        <v>Twitter for Android</v>
      </c>
      <c r="L2274" s="14">
        <v>107</v>
      </c>
      <c r="M2274" s="14">
        <v>274</v>
      </c>
      <c r="N2274" s="14">
        <v>2</v>
      </c>
      <c r="O2274" s="16"/>
      <c r="P2274" s="6">
        <v>40144.771296296298</v>
      </c>
      <c r="Q2274" s="11"/>
      <c r="R2274" s="18"/>
      <c r="S2274" s="11"/>
      <c r="T2274" s="11"/>
      <c r="U2274" s="10" t="str">
        <f>HYPERLINK("https://pbs.twimg.com/profile_images/1058794720531566592/39hcZOUe.jpg","View")</f>
        <v>View</v>
      </c>
    </row>
    <row r="2275" spans="1:21" ht="30.6">
      <c r="A2275" s="6">
        <v>43438.5784837963</v>
      </c>
      <c r="B2275" s="7" t="str">
        <f>HYPERLINK("https://twitter.com/perezpuerto52","@perezpuerto52")</f>
        <v>@perezpuerto52</v>
      </c>
      <c r="C2275" s="8" t="s">
        <v>7454</v>
      </c>
      <c r="D2275" s="9" t="s">
        <v>7455</v>
      </c>
      <c r="E2275" s="10" t="str">
        <f>HYPERLINK("https://twitter.com/perezpuerto52/status/1069937619348402177","1069937619348402177")</f>
        <v>1069937619348402177</v>
      </c>
      <c r="F2275" s="11"/>
      <c r="G2275" s="11"/>
      <c r="H2275" s="11"/>
      <c r="I2275" s="14">
        <v>0</v>
      </c>
      <c r="J2275" s="14">
        <v>0</v>
      </c>
      <c r="K2275" s="15" t="str">
        <f>HYPERLINK("http://twitter.com/download/iphone","Twitter for iPhone")</f>
        <v>Twitter for iPhone</v>
      </c>
      <c r="L2275" s="14">
        <v>1327</v>
      </c>
      <c r="M2275" s="14">
        <v>1906</v>
      </c>
      <c r="N2275" s="14">
        <v>6</v>
      </c>
      <c r="O2275" s="16"/>
      <c r="P2275" s="6">
        <v>40597.759236111109</v>
      </c>
      <c r="Q2275" s="12" t="s">
        <v>7458</v>
      </c>
      <c r="R2275" s="17" t="s">
        <v>7459</v>
      </c>
      <c r="S2275" s="11"/>
      <c r="T2275" s="11"/>
      <c r="U2275" s="10" t="str">
        <f>HYPERLINK("https://pbs.twimg.com/profile_images/477571201066622976/Agu6Vfbh.jpeg","View")</f>
        <v>View</v>
      </c>
    </row>
    <row r="2276" spans="1:21" ht="51">
      <c r="A2276" s="6">
        <v>43438.578310185185</v>
      </c>
      <c r="B2276" s="7" t="str">
        <f>HYPERLINK("https://twitter.com/Cuetano68","@Cuetano68")</f>
        <v>@Cuetano68</v>
      </c>
      <c r="C2276" s="8" t="s">
        <v>7460</v>
      </c>
      <c r="D2276" s="9" t="s">
        <v>7461</v>
      </c>
      <c r="E2276" s="10" t="str">
        <f>HYPERLINK("https://twitter.com/Cuetano68/status/1069937557574770688","1069937557574770688")</f>
        <v>1069937557574770688</v>
      </c>
      <c r="F2276" s="11"/>
      <c r="G2276" s="13" t="s">
        <v>7462</v>
      </c>
      <c r="H2276" s="11"/>
      <c r="I2276" s="14">
        <v>3</v>
      </c>
      <c r="J2276" s="14">
        <v>3</v>
      </c>
      <c r="K2276" s="15" t="str">
        <f>HYPERLINK("http://twitter.com","Twitter Web Client")</f>
        <v>Twitter Web Client</v>
      </c>
      <c r="L2276" s="14">
        <v>5821</v>
      </c>
      <c r="M2276" s="14">
        <v>6102</v>
      </c>
      <c r="N2276" s="14">
        <v>121</v>
      </c>
      <c r="O2276" s="16"/>
      <c r="P2276" s="6">
        <v>40725.851666666669</v>
      </c>
      <c r="Q2276" s="12" t="s">
        <v>7463</v>
      </c>
      <c r="R2276" s="17" t="s">
        <v>7464</v>
      </c>
      <c r="S2276" s="13" t="s">
        <v>7465</v>
      </c>
      <c r="T2276" s="11"/>
      <c r="U2276" s="10" t="str">
        <f>HYPERLINK("https://pbs.twimg.com/profile_images/900511161799639040/5J9IE4Yv.jpg","View")</f>
        <v>View</v>
      </c>
    </row>
    <row r="2277" spans="1:21" ht="40.799999999999997">
      <c r="A2277" s="6">
        <v>43438.577222222222</v>
      </c>
      <c r="B2277" s="7" t="str">
        <f>HYPERLINK("https://twitter.com/dsegoviaatienza","@dsegoviaatienza")</f>
        <v>@dsegoviaatienza</v>
      </c>
      <c r="C2277" s="8" t="s">
        <v>7466</v>
      </c>
      <c r="D2277" s="9" t="s">
        <v>7467</v>
      </c>
      <c r="E2277" s="10" t="str">
        <f>HYPERLINK("https://twitter.com/dsegoviaatienza/status/1069937160755793920","1069937160755793920")</f>
        <v>1069937160755793920</v>
      </c>
      <c r="F2277" s="11"/>
      <c r="G2277" s="11"/>
      <c r="H2277" s="11"/>
      <c r="I2277" s="14">
        <v>2</v>
      </c>
      <c r="J2277" s="14">
        <v>3</v>
      </c>
      <c r="K2277" s="15" t="str">
        <f t="shared" ref="K2277:K2279" si="448">HYPERLINK("http://twitter.com/download/android","Twitter for Android")</f>
        <v>Twitter for Android</v>
      </c>
      <c r="L2277" s="14">
        <v>207</v>
      </c>
      <c r="M2277" s="14">
        <v>972</v>
      </c>
      <c r="N2277" s="14">
        <v>1</v>
      </c>
      <c r="O2277" s="16"/>
      <c r="P2277" s="6">
        <v>40594.872002314813</v>
      </c>
      <c r="Q2277" s="12" t="s">
        <v>7468</v>
      </c>
      <c r="R2277" s="18"/>
      <c r="S2277" s="13" t="s">
        <v>7469</v>
      </c>
      <c r="T2277" s="11"/>
      <c r="U2277" s="10" t="str">
        <f>HYPERLINK("https://pbs.twimg.com/profile_images/1052880582974341120/qr6qYDKm.jpg","View")</f>
        <v>View</v>
      </c>
    </row>
    <row r="2278" spans="1:21" ht="20.399999999999999">
      <c r="A2278" s="6">
        <v>43438.576562499999</v>
      </c>
      <c r="B2278" s="7" t="str">
        <f>HYPERLINK("https://twitter.com/_Gafas_y_reloj_","@_Gafas_y_reloj_")</f>
        <v>@_Gafas_y_reloj_</v>
      </c>
      <c r="C2278" s="8" t="s">
        <v>284</v>
      </c>
      <c r="D2278" s="9" t="s">
        <v>7475</v>
      </c>
      <c r="E2278" s="10" t="str">
        <f>HYPERLINK("https://twitter.com/_Gafas_y_reloj_/status/1069936921311371265","1069936921311371265")</f>
        <v>1069936921311371265</v>
      </c>
      <c r="F2278" s="11"/>
      <c r="G2278" s="11"/>
      <c r="H2278" s="11"/>
      <c r="I2278" s="14">
        <v>2</v>
      </c>
      <c r="J2278" s="14">
        <v>6</v>
      </c>
      <c r="K2278" s="15" t="str">
        <f t="shared" si="448"/>
        <v>Twitter for Android</v>
      </c>
      <c r="L2278" s="14">
        <v>11839</v>
      </c>
      <c r="M2278" s="14">
        <v>718</v>
      </c>
      <c r="N2278" s="14">
        <v>194</v>
      </c>
      <c r="O2278" s="16"/>
      <c r="P2278" s="6">
        <v>40803.430173611108</v>
      </c>
      <c r="Q2278" s="12" t="s">
        <v>288</v>
      </c>
      <c r="R2278" s="17" t="s">
        <v>289</v>
      </c>
      <c r="S2278" s="11"/>
      <c r="T2278" s="11"/>
      <c r="U2278" s="10" t="str">
        <f>HYPERLINK("https://pbs.twimg.com/profile_images/923940667965038593/LEd9tLut.jpg","View")</f>
        <v>View</v>
      </c>
    </row>
    <row r="2279" spans="1:21" ht="40.799999999999997">
      <c r="A2279" s="6">
        <v>43438.576238425929</v>
      </c>
      <c r="B2279" s="7" t="str">
        <f>HYPERLINK("https://twitter.com/pepillogrillo67","@pepillogrillo67")</f>
        <v>@pepillogrillo67</v>
      </c>
      <c r="C2279" s="8" t="s">
        <v>7477</v>
      </c>
      <c r="D2279" s="9" t="s">
        <v>7478</v>
      </c>
      <c r="E2279" s="10" t="str">
        <f>HYPERLINK("https://twitter.com/pepillogrillo67/status/1069936806307774464","1069936806307774464")</f>
        <v>1069936806307774464</v>
      </c>
      <c r="F2279" s="11"/>
      <c r="G2279" s="11"/>
      <c r="H2279" s="11"/>
      <c r="I2279" s="14">
        <v>1</v>
      </c>
      <c r="J2279" s="14">
        <v>6</v>
      </c>
      <c r="K2279" s="15" t="str">
        <f t="shared" si="448"/>
        <v>Twitter for Android</v>
      </c>
      <c r="L2279" s="14">
        <v>22367</v>
      </c>
      <c r="M2279" s="14">
        <v>15074</v>
      </c>
      <c r="N2279" s="14">
        <v>89</v>
      </c>
      <c r="O2279" s="16"/>
      <c r="P2279" s="6">
        <v>40625.65587962963</v>
      </c>
      <c r="Q2279" s="12" t="s">
        <v>137</v>
      </c>
      <c r="R2279" s="17" t="s">
        <v>7479</v>
      </c>
      <c r="S2279" s="13" t="s">
        <v>7480</v>
      </c>
      <c r="T2279" s="11"/>
      <c r="U2279" s="10" t="str">
        <f>HYPERLINK("https://pbs.twimg.com/profile_images/653677794422071296/wZli4Owq.jpg","View")</f>
        <v>View</v>
      </c>
    </row>
    <row r="2280" spans="1:21" ht="40.799999999999997">
      <c r="A2280" s="6">
        <v>43438.575509259259</v>
      </c>
      <c r="B2280" s="7" t="str">
        <f>HYPERLINK("https://twitter.com/Victor21v","@Victor21v")</f>
        <v>@Victor21v</v>
      </c>
      <c r="C2280" s="8" t="s">
        <v>7483</v>
      </c>
      <c r="D2280" s="9" t="s">
        <v>7484</v>
      </c>
      <c r="E2280" s="10" t="str">
        <f>HYPERLINK("https://twitter.com/Victor21v/status/1069936543060627456","1069936543060627456")</f>
        <v>1069936543060627456</v>
      </c>
      <c r="F2280" s="13" t="s">
        <v>6219</v>
      </c>
      <c r="G2280" s="11"/>
      <c r="H2280" s="11"/>
      <c r="I2280" s="14">
        <v>0</v>
      </c>
      <c r="J2280" s="14">
        <v>0</v>
      </c>
      <c r="K2280" s="15" t="str">
        <f>HYPERLINK("http://twitter.com","Twitter Web Client")</f>
        <v>Twitter Web Client</v>
      </c>
      <c r="L2280" s="14">
        <v>407</v>
      </c>
      <c r="M2280" s="14">
        <v>202</v>
      </c>
      <c r="N2280" s="14">
        <v>5</v>
      </c>
      <c r="O2280" s="16"/>
      <c r="P2280" s="6">
        <v>40850.053981481484</v>
      </c>
      <c r="Q2280" s="12" t="s">
        <v>477</v>
      </c>
      <c r="R2280" s="17" t="s">
        <v>7486</v>
      </c>
      <c r="S2280" s="13" t="s">
        <v>7487</v>
      </c>
      <c r="T2280" s="11"/>
      <c r="U2280" s="10" t="str">
        <f>HYPERLINK("https://pbs.twimg.com/profile_images/731550679664316420/_i3_TfsI.jpg","View")</f>
        <v>View</v>
      </c>
    </row>
    <row r="2281" spans="1:21" ht="30.6">
      <c r="A2281" s="6">
        <v>43438.575277777782</v>
      </c>
      <c r="B2281" s="7" t="str">
        <f>HYPERLINK("https://twitter.com/pedrovzc","@pedrovzc")</f>
        <v>@pedrovzc</v>
      </c>
      <c r="C2281" s="8" t="s">
        <v>8450</v>
      </c>
      <c r="D2281" s="9" t="s">
        <v>8451</v>
      </c>
      <c r="E2281" s="10" t="str">
        <f>HYPERLINK("https://twitter.com/pedrovzc/status/1069936458595753984","1069936458595753984")</f>
        <v>1069936458595753984</v>
      </c>
      <c r="F2281" s="13" t="s">
        <v>8452</v>
      </c>
      <c r="G2281" s="11"/>
      <c r="H2281" s="11"/>
      <c r="I2281" s="14">
        <v>18</v>
      </c>
      <c r="J2281" s="14">
        <v>25</v>
      </c>
      <c r="K2281" s="15" t="str">
        <f t="shared" ref="K2281:K2284" si="449">HYPERLINK("http://twitter.com/download/android","Twitter for Android")</f>
        <v>Twitter for Android</v>
      </c>
      <c r="L2281" s="14">
        <v>1329</v>
      </c>
      <c r="M2281" s="14">
        <v>854</v>
      </c>
      <c r="N2281" s="14">
        <v>21</v>
      </c>
      <c r="O2281" s="16"/>
      <c r="P2281" s="6">
        <v>41257.930266203708</v>
      </c>
      <c r="Q2281" s="12" t="s">
        <v>8453</v>
      </c>
      <c r="R2281" s="17" t="s">
        <v>8454</v>
      </c>
      <c r="S2281" s="11"/>
      <c r="T2281" s="11"/>
      <c r="U2281" s="10" t="str">
        <f>HYPERLINK("https://pbs.twimg.com/profile_images/866353821412466689/efrRkpSA.jpg","View")</f>
        <v>View</v>
      </c>
    </row>
    <row r="2282" spans="1:21" ht="20.399999999999999">
      <c r="A2282" s="6">
        <v>43438.575057870374</v>
      </c>
      <c r="B2282" s="7" t="str">
        <f>HYPERLINK("https://twitter.com/BujalJuanangel","@BujalJuanangel")</f>
        <v>@BujalJuanangel</v>
      </c>
      <c r="C2282" s="8" t="s">
        <v>7490</v>
      </c>
      <c r="D2282" s="9" t="s">
        <v>7491</v>
      </c>
      <c r="E2282" s="10" t="str">
        <f>HYPERLINK("https://twitter.com/BujalJuanangel/status/1069936379398942720","1069936379398942720")</f>
        <v>1069936379398942720</v>
      </c>
      <c r="F2282" s="13" t="s">
        <v>7492</v>
      </c>
      <c r="G2282" s="11"/>
      <c r="H2282" s="11"/>
      <c r="I2282" s="14">
        <v>0</v>
      </c>
      <c r="J2282" s="14">
        <v>0</v>
      </c>
      <c r="K2282" s="15" t="str">
        <f t="shared" si="449"/>
        <v>Twitter for Android</v>
      </c>
      <c r="L2282" s="14">
        <v>6</v>
      </c>
      <c r="M2282" s="14">
        <v>80</v>
      </c>
      <c r="N2282" s="14">
        <v>0</v>
      </c>
      <c r="O2282" s="16"/>
      <c r="P2282" s="6">
        <v>43095.643020833333</v>
      </c>
      <c r="Q2282" s="11"/>
      <c r="R2282" s="18"/>
      <c r="S2282" s="11"/>
      <c r="T2282" s="11"/>
      <c r="U2282" s="10" t="str">
        <f>HYPERLINK("https://pbs.twimg.com/profile_images/976726457106956288/EYQtP6B2.jpg","View")</f>
        <v>View</v>
      </c>
    </row>
    <row r="2283" spans="1:21" ht="51">
      <c r="A2283" s="6">
        <v>43438.574537037042</v>
      </c>
      <c r="B2283" s="7" t="str">
        <f>HYPERLINK("https://twitter.com/manu_cas14","@manu_cas14")</f>
        <v>@manu_cas14</v>
      </c>
      <c r="C2283" s="8" t="s">
        <v>7493</v>
      </c>
      <c r="D2283" s="9" t="s">
        <v>7494</v>
      </c>
      <c r="E2283" s="10" t="str">
        <f>HYPERLINK("https://twitter.com/manu_cas14/status/1069936187501150208","1069936187501150208")</f>
        <v>1069936187501150208</v>
      </c>
      <c r="F2283" s="11"/>
      <c r="G2283" s="11"/>
      <c r="H2283" s="11"/>
      <c r="I2283" s="14">
        <v>0</v>
      </c>
      <c r="J2283" s="14">
        <v>1</v>
      </c>
      <c r="K2283" s="15" t="str">
        <f t="shared" si="449"/>
        <v>Twitter for Android</v>
      </c>
      <c r="L2283" s="14">
        <v>510</v>
      </c>
      <c r="M2283" s="14">
        <v>304</v>
      </c>
      <c r="N2283" s="14">
        <v>7</v>
      </c>
      <c r="O2283" s="16"/>
      <c r="P2283" s="6">
        <v>40584.942754629628</v>
      </c>
      <c r="Q2283" s="11"/>
      <c r="R2283" s="17" t="s">
        <v>7499</v>
      </c>
      <c r="S2283" s="13" t="s">
        <v>7500</v>
      </c>
      <c r="T2283" s="11"/>
      <c r="U2283" s="10" t="str">
        <f>HYPERLINK("https://pbs.twimg.com/profile_images/856955089554219010/ighZ1T8b.jpg","View")</f>
        <v>View</v>
      </c>
    </row>
    <row r="2284" spans="1:21" ht="40.799999999999997">
      <c r="A2284" s="6">
        <v>43438.574166666665</v>
      </c>
      <c r="B2284" s="7" t="str">
        <f>HYPERLINK("https://twitter.com/PVadecurt","@PVadecurt")</f>
        <v>@PVadecurt</v>
      </c>
      <c r="C2284" s="8" t="s">
        <v>8455</v>
      </c>
      <c r="D2284" s="9" t="s">
        <v>8456</v>
      </c>
      <c r="E2284" s="10" t="str">
        <f>HYPERLINK("https://twitter.com/PVadecurt/status/1069936055661547522","1069936055661547522")</f>
        <v>1069936055661547522</v>
      </c>
      <c r="F2284" s="12" t="s">
        <v>6298</v>
      </c>
      <c r="G2284" s="13" t="s">
        <v>6299</v>
      </c>
      <c r="H2284" s="11"/>
      <c r="I2284" s="14">
        <v>1</v>
      </c>
      <c r="J2284" s="14">
        <v>1</v>
      </c>
      <c r="K2284" s="15" t="str">
        <f t="shared" si="449"/>
        <v>Twitter for Android</v>
      </c>
      <c r="L2284" s="14">
        <v>1564</v>
      </c>
      <c r="M2284" s="14">
        <v>1432</v>
      </c>
      <c r="N2284" s="14">
        <v>22</v>
      </c>
      <c r="O2284" s="16"/>
      <c r="P2284" s="6">
        <v>42169.933749999997</v>
      </c>
      <c r="Q2284" s="11"/>
      <c r="R2284" s="17" t="s">
        <v>8457</v>
      </c>
      <c r="S2284" s="11"/>
      <c r="T2284" s="11"/>
      <c r="U2284" s="10" t="str">
        <f>HYPERLINK("https://pbs.twimg.com/profile_images/931967468230402049/XFDjsYos.jpg","View")</f>
        <v>View</v>
      </c>
    </row>
    <row r="2285" spans="1:21" ht="40.799999999999997">
      <c r="A2285" s="6">
        <v>43438.573807870373</v>
      </c>
      <c r="B2285" s="7" t="str">
        <f>HYPERLINK("https://twitter.com/vjauregui1975","@vjauregui1975")</f>
        <v>@vjauregui1975</v>
      </c>
      <c r="C2285" s="8" t="s">
        <v>7501</v>
      </c>
      <c r="D2285" s="9" t="s">
        <v>7502</v>
      </c>
      <c r="E2285" s="10" t="str">
        <f>HYPERLINK("https://twitter.com/vjauregui1975/status/1069935925621338113","1069935925621338113")</f>
        <v>1069935925621338113</v>
      </c>
      <c r="F2285" s="11"/>
      <c r="G2285" s="11"/>
      <c r="H2285" s="11"/>
      <c r="I2285" s="14">
        <v>0</v>
      </c>
      <c r="J2285" s="14">
        <v>0</v>
      </c>
      <c r="K2285" s="15" t="str">
        <f>HYPERLINK("http://twitter.com/download/iphone","Twitter for iPhone")</f>
        <v>Twitter for iPhone</v>
      </c>
      <c r="L2285" s="14">
        <v>211</v>
      </c>
      <c r="M2285" s="14">
        <v>769</v>
      </c>
      <c r="N2285" s="14">
        <v>0</v>
      </c>
      <c r="O2285" s="16"/>
      <c r="P2285" s="6">
        <v>40573.374745370369</v>
      </c>
      <c r="Q2285" s="12" t="s">
        <v>7503</v>
      </c>
      <c r="R2285" s="17" t="s">
        <v>7504</v>
      </c>
      <c r="S2285" s="13" t="s">
        <v>7505</v>
      </c>
      <c r="T2285" s="11"/>
      <c r="U2285" s="10" t="str">
        <f>HYPERLINK("https://pbs.twimg.com/profile_images/1026449044078567424/ORIzuN25.jpg","View")</f>
        <v>View</v>
      </c>
    </row>
    <row r="2286" spans="1:21" ht="51">
      <c r="A2286" s="6">
        <v>43438.573645833334</v>
      </c>
      <c r="B2286" s="7" t="str">
        <f>HYPERLINK("https://twitter.com/Genoviana","@Genoviana")</f>
        <v>@Genoviana</v>
      </c>
      <c r="C2286" s="8" t="s">
        <v>7506</v>
      </c>
      <c r="D2286" s="9" t="s">
        <v>7507</v>
      </c>
      <c r="E2286" s="10" t="str">
        <f>HYPERLINK("https://twitter.com/Genoviana/status/1069935864309039104","1069935864309039104")</f>
        <v>1069935864309039104</v>
      </c>
      <c r="F2286" s="13" t="s">
        <v>7508</v>
      </c>
      <c r="G2286" s="11"/>
      <c r="H2286" s="11"/>
      <c r="I2286" s="14">
        <v>0</v>
      </c>
      <c r="J2286" s="14">
        <v>0</v>
      </c>
      <c r="K2286" s="15" t="str">
        <f>HYPERLINK("http://twitter.com/download/android","Twitter for Android")</f>
        <v>Twitter for Android</v>
      </c>
      <c r="L2286" s="14">
        <v>558</v>
      </c>
      <c r="M2286" s="14">
        <v>934</v>
      </c>
      <c r="N2286" s="14">
        <v>1</v>
      </c>
      <c r="O2286" s="16"/>
      <c r="P2286" s="6">
        <v>43123.852187500001</v>
      </c>
      <c r="Q2286" s="11"/>
      <c r="R2286" s="17" t="s">
        <v>7509</v>
      </c>
      <c r="S2286" s="11"/>
      <c r="T2286" s="11"/>
      <c r="U2286" s="10" t="str">
        <f>HYPERLINK("https://pbs.twimg.com/profile_images/988173379739045888/FqRyQ7U-.jpg","View")</f>
        <v>View</v>
      </c>
    </row>
    <row r="2287" spans="1:21" ht="40.799999999999997">
      <c r="A2287" s="6">
        <v>43438.573344907403</v>
      </c>
      <c r="B2287" s="7" t="str">
        <f>HYPERLINK("https://twitter.com/santiagodotor","@santiagodotor")</f>
        <v>@santiagodotor</v>
      </c>
      <c r="C2287" s="8" t="s">
        <v>7510</v>
      </c>
      <c r="D2287" s="9" t="s">
        <v>7511</v>
      </c>
      <c r="E2287" s="10" t="str">
        <f>HYPERLINK("https://twitter.com/santiagodotor/status/1069935757073235976","1069935757073235976")</f>
        <v>1069935757073235976</v>
      </c>
      <c r="F2287" s="13" t="s">
        <v>511</v>
      </c>
      <c r="G2287" s="11"/>
      <c r="H2287" s="11"/>
      <c r="I2287" s="14">
        <v>0</v>
      </c>
      <c r="J2287" s="14">
        <v>0</v>
      </c>
      <c r="K2287" s="15" t="str">
        <f t="shared" ref="K2287:K2289" si="450">HYPERLINK("http://twitter.com","Twitter Web Client")</f>
        <v>Twitter Web Client</v>
      </c>
      <c r="L2287" s="14">
        <v>191</v>
      </c>
      <c r="M2287" s="14">
        <v>304</v>
      </c>
      <c r="N2287" s="14">
        <v>26</v>
      </c>
      <c r="O2287" s="16"/>
      <c r="P2287" s="6">
        <v>40879.404282407406</v>
      </c>
      <c r="Q2287" s="12" t="s">
        <v>29</v>
      </c>
      <c r="R2287" s="18"/>
      <c r="S2287" s="11"/>
      <c r="T2287" s="11"/>
      <c r="U2287" s="10" t="str">
        <f>HYPERLINK("https://pbs.twimg.com/profile_images/1669305465/Facebook_Img_4751.jpg","View")</f>
        <v>View</v>
      </c>
    </row>
    <row r="2288" spans="1:21" ht="40.799999999999997">
      <c r="A2288" s="6">
        <v>43438.571481481486</v>
      </c>
      <c r="B2288" s="7" t="str">
        <f>HYPERLINK("https://twitter.com/Trankas4","@Trankas4")</f>
        <v>@Trankas4</v>
      </c>
      <c r="C2288" s="8" t="s">
        <v>7512</v>
      </c>
      <c r="D2288" s="9" t="s">
        <v>7513</v>
      </c>
      <c r="E2288" s="10" t="str">
        <f>HYPERLINK("https://twitter.com/Trankas4/status/1069935081769308160","1069935081769308160")</f>
        <v>1069935081769308160</v>
      </c>
      <c r="F2288" s="11"/>
      <c r="G2288" s="11"/>
      <c r="H2288" s="11"/>
      <c r="I2288" s="14">
        <v>22</v>
      </c>
      <c r="J2288" s="14">
        <v>23</v>
      </c>
      <c r="K2288" s="15" t="str">
        <f t="shared" si="450"/>
        <v>Twitter Web Client</v>
      </c>
      <c r="L2288" s="14">
        <v>1460</v>
      </c>
      <c r="M2288" s="14">
        <v>1632</v>
      </c>
      <c r="N2288" s="14">
        <v>1</v>
      </c>
      <c r="O2288" s="16"/>
      <c r="P2288" s="6">
        <v>43308.85738425926</v>
      </c>
      <c r="Q2288" s="12" t="s">
        <v>7514</v>
      </c>
      <c r="R2288" s="17" t="s">
        <v>7515</v>
      </c>
      <c r="S2288" s="11"/>
      <c r="T2288" s="11"/>
      <c r="U2288" s="10" t="str">
        <f>HYPERLINK("https://pbs.twimg.com/profile_images/1053575329862877184/ffZ9OBWY.jpg","View")</f>
        <v>View</v>
      </c>
    </row>
    <row r="2289" spans="1:21" ht="71.400000000000006">
      <c r="A2289" s="6">
        <v>43438.570983796293</v>
      </c>
      <c r="B2289" s="7" t="str">
        <f>HYPERLINK("https://twitter.com/fijatetu_erestu","@fijatetu_erestu")</f>
        <v>@fijatetu_erestu</v>
      </c>
      <c r="C2289" s="8" t="s">
        <v>8458</v>
      </c>
      <c r="D2289" s="9" t="s">
        <v>8459</v>
      </c>
      <c r="E2289" s="10" t="str">
        <f>HYPERLINK("https://twitter.com/fijatetu_erestu/status/1069934902978756608","1069934902978756608")</f>
        <v>1069934902978756608</v>
      </c>
      <c r="F2289" s="12" t="s">
        <v>8460</v>
      </c>
      <c r="G2289" s="11"/>
      <c r="H2289" s="11"/>
      <c r="I2289" s="14">
        <v>0</v>
      </c>
      <c r="J2289" s="14">
        <v>0</v>
      </c>
      <c r="K2289" s="15" t="str">
        <f t="shared" si="450"/>
        <v>Twitter Web Client</v>
      </c>
      <c r="L2289" s="14">
        <v>132</v>
      </c>
      <c r="M2289" s="14">
        <v>179</v>
      </c>
      <c r="N2289" s="14">
        <v>3</v>
      </c>
      <c r="O2289" s="16"/>
      <c r="P2289" s="6">
        <v>40682.90824074074</v>
      </c>
      <c r="Q2289" s="12" t="s">
        <v>8461</v>
      </c>
      <c r="R2289" s="17" t="s">
        <v>8462</v>
      </c>
      <c r="S2289" s="11"/>
      <c r="T2289" s="11"/>
      <c r="U2289" s="10" t="str">
        <f>HYPERLINK("https://pbs.twimg.com/profile_images/1046399109408722944/WSPLq3LF.jpg","View")</f>
        <v>View</v>
      </c>
    </row>
    <row r="2290" spans="1:21" ht="51">
      <c r="A2290" s="6">
        <v>43438.568275462967</v>
      </c>
      <c r="B2290" s="7" t="str">
        <f>HYPERLINK("https://twitter.com/pnique","@pnique")</f>
        <v>@pnique</v>
      </c>
      <c r="C2290" s="8" t="s">
        <v>8463</v>
      </c>
      <c r="D2290" s="9" t="s">
        <v>8464</v>
      </c>
      <c r="E2290" s="10" t="str">
        <f>HYPERLINK("https://twitter.com/pnique/status/1069933919762563072","1069933919762563072")</f>
        <v>1069933919762563072</v>
      </c>
      <c r="F2290" s="13" t="s">
        <v>7377</v>
      </c>
      <c r="G2290" s="11"/>
      <c r="H2290" s="11"/>
      <c r="I2290" s="14">
        <v>1327</v>
      </c>
      <c r="J2290" s="14">
        <v>1860</v>
      </c>
      <c r="K2290" s="15" t="str">
        <f>HYPERLINK("https://buffer.com","Buffer")</f>
        <v>Buffer</v>
      </c>
      <c r="L2290" s="14">
        <v>436333</v>
      </c>
      <c r="M2290" s="14">
        <v>2008</v>
      </c>
      <c r="N2290" s="14">
        <v>2575</v>
      </c>
      <c r="O2290" s="19" t="s">
        <v>42</v>
      </c>
      <c r="P2290" s="6">
        <v>39892.83662037037</v>
      </c>
      <c r="Q2290" s="12" t="s">
        <v>137</v>
      </c>
      <c r="R2290" s="17" t="s">
        <v>8465</v>
      </c>
      <c r="S2290" s="13" t="s">
        <v>8466</v>
      </c>
      <c r="T2290" s="11"/>
      <c r="U2290" s="10" t="str">
        <f>HYPERLINK("https://pbs.twimg.com/profile_images/1070780574745399296/5T04IF-m.jpg","View")</f>
        <v>View</v>
      </c>
    </row>
    <row r="2291" spans="1:21" ht="30.6">
      <c r="A2291" s="6">
        <v>43438.567546296297</v>
      </c>
      <c r="B2291" s="7" t="str">
        <f>HYPERLINK("https://twitter.com/martingerz_","@martingerz_")</f>
        <v>@martingerz_</v>
      </c>
      <c r="C2291" s="8" t="s">
        <v>7516</v>
      </c>
      <c r="D2291" s="9" t="s">
        <v>7517</v>
      </c>
      <c r="E2291" s="10" t="str">
        <f>HYPERLINK("https://twitter.com/martingerz_/status/1069933654535741440","1069933654535741440")</f>
        <v>1069933654535741440</v>
      </c>
      <c r="F2291" s="11"/>
      <c r="G2291" s="11"/>
      <c r="H2291" s="11"/>
      <c r="I2291" s="14">
        <v>0</v>
      </c>
      <c r="J2291" s="14">
        <v>0</v>
      </c>
      <c r="K2291" s="15" t="str">
        <f t="shared" ref="K2291:K2292" si="451">HYPERLINK("http://twitter.com/download/android","Twitter for Android")</f>
        <v>Twitter for Android</v>
      </c>
      <c r="L2291" s="14">
        <v>1610</v>
      </c>
      <c r="M2291" s="14">
        <v>2606</v>
      </c>
      <c r="N2291" s="14">
        <v>27</v>
      </c>
      <c r="O2291" s="16"/>
      <c r="P2291" s="6">
        <v>40324.417442129634</v>
      </c>
      <c r="Q2291" s="12" t="s">
        <v>89</v>
      </c>
      <c r="R2291" s="17" t="s">
        <v>7518</v>
      </c>
      <c r="S2291" s="11"/>
      <c r="T2291" s="11"/>
      <c r="U2291" s="10" t="str">
        <f>HYPERLINK("https://pbs.twimg.com/profile_images/1007943787606183936/5EMVOk9m.jpg","View")</f>
        <v>View</v>
      </c>
    </row>
    <row r="2292" spans="1:21" ht="51">
      <c r="A2292" s="6">
        <v>43438.567361111112</v>
      </c>
      <c r="B2292" s="7" t="str">
        <f>HYPERLINK("https://twitter.com/hombremagico72","@hombremagico72")</f>
        <v>@hombremagico72</v>
      </c>
      <c r="C2292" s="8" t="s">
        <v>7519</v>
      </c>
      <c r="D2292" s="9" t="s">
        <v>7520</v>
      </c>
      <c r="E2292" s="10" t="str">
        <f>HYPERLINK("https://twitter.com/hombremagico72/status/1069933589087838214","1069933589087838214")</f>
        <v>1069933589087838214</v>
      </c>
      <c r="F2292" s="11"/>
      <c r="G2292" s="11"/>
      <c r="H2292" s="11"/>
      <c r="I2292" s="14">
        <v>0</v>
      </c>
      <c r="J2292" s="14">
        <v>0</v>
      </c>
      <c r="K2292" s="15" t="str">
        <f t="shared" si="451"/>
        <v>Twitter for Android</v>
      </c>
      <c r="L2292" s="14">
        <v>46</v>
      </c>
      <c r="M2292" s="14">
        <v>245</v>
      </c>
      <c r="N2292" s="14">
        <v>0</v>
      </c>
      <c r="O2292" s="16"/>
      <c r="P2292" s="6">
        <v>43248.741099537037</v>
      </c>
      <c r="Q2292" s="12" t="s">
        <v>7523</v>
      </c>
      <c r="R2292" s="17" t="s">
        <v>7524</v>
      </c>
      <c r="S2292" s="11"/>
      <c r="T2292" s="11"/>
      <c r="U2292" s="10" t="str">
        <f>HYPERLINK("https://pbs.twimg.com/profile_images/1001129011903332352/E-6_xigm.jpg","View")</f>
        <v>View</v>
      </c>
    </row>
    <row r="2293" spans="1:21" ht="40.799999999999997">
      <c r="A2293" s="6">
        <v>43438.563888888893</v>
      </c>
      <c r="B2293" s="7" t="str">
        <f>HYPERLINK("https://twitter.com/elnacionalcat_e","@elnacionalcat_e")</f>
        <v>@elnacionalcat_e</v>
      </c>
      <c r="C2293" s="8" t="s">
        <v>4541</v>
      </c>
      <c r="D2293" s="9" t="s">
        <v>8467</v>
      </c>
      <c r="E2293" s="10" t="str">
        <f>HYPERLINK("https://twitter.com/elnacionalcat_e/status/1069932329366257664","1069932329366257664")</f>
        <v>1069932329366257664</v>
      </c>
      <c r="F2293" s="13" t="s">
        <v>8396</v>
      </c>
      <c r="G2293" s="11"/>
      <c r="H2293" s="11"/>
      <c r="I2293" s="14">
        <v>0</v>
      </c>
      <c r="J2293" s="14">
        <v>0</v>
      </c>
      <c r="K2293" s="15" t="str">
        <f>HYPERLINK("https://about.twitter.com/products/tweetdeck","TweetDeck")</f>
        <v>TweetDeck</v>
      </c>
      <c r="L2293" s="14">
        <v>5553</v>
      </c>
      <c r="M2293" s="14">
        <v>355</v>
      </c>
      <c r="N2293" s="14">
        <v>169</v>
      </c>
      <c r="O2293" s="16"/>
      <c r="P2293" s="6">
        <v>42247.840567129635</v>
      </c>
      <c r="Q2293" s="12" t="s">
        <v>3665</v>
      </c>
      <c r="R2293" s="17" t="s">
        <v>4545</v>
      </c>
      <c r="S2293" s="13" t="s">
        <v>4546</v>
      </c>
      <c r="T2293" s="11"/>
      <c r="U2293" s="10" t="str">
        <f>HYPERLINK("https://pbs.twimg.com/profile_images/646298514385960960/VEutSP7L.png","View")</f>
        <v>View</v>
      </c>
    </row>
    <row r="2294" spans="1:21" ht="51">
      <c r="A2294" s="6">
        <v>43438.561423611114</v>
      </c>
      <c r="B2294" s="7" t="str">
        <f>HYPERLINK("https://twitter.com/comentaconjose","@comentaconjose")</f>
        <v>@comentaconjose</v>
      </c>
      <c r="C2294" s="8" t="s">
        <v>4977</v>
      </c>
      <c r="D2294" s="9" t="s">
        <v>7528</v>
      </c>
      <c r="E2294" s="10" t="str">
        <f>HYPERLINK("https://twitter.com/comentaconjose/status/1069931434515881984","1069931434515881984")</f>
        <v>1069931434515881984</v>
      </c>
      <c r="F2294" s="12" t="s">
        <v>7529</v>
      </c>
      <c r="G2294" s="11"/>
      <c r="H2294" s="11"/>
      <c r="I2294" s="14">
        <v>0</v>
      </c>
      <c r="J2294" s="14">
        <v>0</v>
      </c>
      <c r="K2294" s="15" t="str">
        <f>HYPERLINK("http://twitter.com","Twitter Web Client")</f>
        <v>Twitter Web Client</v>
      </c>
      <c r="L2294" s="14">
        <v>310913</v>
      </c>
      <c r="M2294" s="14">
        <v>170870</v>
      </c>
      <c r="N2294" s="14">
        <v>662</v>
      </c>
      <c r="O2294" s="16"/>
      <c r="P2294" s="6">
        <v>41028.801041666666</v>
      </c>
      <c r="Q2294" s="12" t="s">
        <v>4978</v>
      </c>
      <c r="R2294" s="17" t="s">
        <v>4979</v>
      </c>
      <c r="S2294" s="13" t="s">
        <v>4980</v>
      </c>
      <c r="T2294" s="11"/>
      <c r="U2294" s="10" t="str">
        <f>HYPERLINK("https://pbs.twimg.com/profile_images/936301220297363456/z0cOp2hD.jpg","View")</f>
        <v>View</v>
      </c>
    </row>
    <row r="2295" spans="1:21" ht="40.799999999999997">
      <c r="A2295" s="6">
        <v>43438.559618055559</v>
      </c>
      <c r="B2295" s="7" t="str">
        <f>HYPERLINK("https://twitter.com/cspescados","@cspescados")</f>
        <v>@cspescados</v>
      </c>
      <c r="C2295" s="8" t="s">
        <v>600</v>
      </c>
      <c r="D2295" s="9" t="s">
        <v>8468</v>
      </c>
      <c r="E2295" s="10" t="str">
        <f>HYPERLINK("https://twitter.com/cspescados/status/1069930782129561600","1069930782129561600")</f>
        <v>1069930782129561600</v>
      </c>
      <c r="F2295" s="13" t="s">
        <v>8469</v>
      </c>
      <c r="G2295" s="11"/>
      <c r="H2295" s="11"/>
      <c r="I2295" s="14">
        <v>8</v>
      </c>
      <c r="J2295" s="14">
        <v>6</v>
      </c>
      <c r="K2295" s="15" t="str">
        <f>HYPERLINK("https://about.twitter.com/products/tweetdeck","TweetDeck")</f>
        <v>TweetDeck</v>
      </c>
      <c r="L2295" s="14">
        <v>14978</v>
      </c>
      <c r="M2295" s="14">
        <v>818</v>
      </c>
      <c r="N2295" s="14">
        <v>128</v>
      </c>
      <c r="O2295" s="16"/>
      <c r="P2295" s="6">
        <v>42097.732581018514</v>
      </c>
      <c r="Q2295" s="12" t="s">
        <v>606</v>
      </c>
      <c r="R2295" s="17" t="s">
        <v>607</v>
      </c>
      <c r="S2295" s="13" t="s">
        <v>608</v>
      </c>
      <c r="T2295" s="11"/>
      <c r="U2295" s="10" t="str">
        <f>HYPERLINK("https://pbs.twimg.com/profile_images/600268890959126528/aC9kvTK_.jpg","View")</f>
        <v>View</v>
      </c>
    </row>
    <row r="2296" spans="1:21" ht="61.2">
      <c r="A2296" s="6">
        <v>43438.558472222227</v>
      </c>
      <c r="B2296" s="7" t="str">
        <f>HYPERLINK("https://twitter.com/BancajaEstafa","@BancajaEstafa")</f>
        <v>@BancajaEstafa</v>
      </c>
      <c r="C2296" s="8" t="s">
        <v>1178</v>
      </c>
      <c r="D2296" s="9" t="s">
        <v>7532</v>
      </c>
      <c r="E2296" s="10" t="str">
        <f>HYPERLINK("https://twitter.com/BancajaEstafa/status/1069930367975612416","1069930367975612416")</f>
        <v>1069930367975612416</v>
      </c>
      <c r="F2296" s="11"/>
      <c r="G2296" s="11"/>
      <c r="H2296" s="11"/>
      <c r="I2296" s="14">
        <v>0</v>
      </c>
      <c r="J2296" s="14">
        <v>1</v>
      </c>
      <c r="K2296" s="15" t="str">
        <f>HYPERLINK("http://twitter.com","Twitter Web Client")</f>
        <v>Twitter Web Client</v>
      </c>
      <c r="L2296" s="14">
        <v>1189</v>
      </c>
      <c r="M2296" s="14">
        <v>4999</v>
      </c>
      <c r="N2296" s="14">
        <v>28</v>
      </c>
      <c r="O2296" s="16"/>
      <c r="P2296" s="6">
        <v>42189.936469907407</v>
      </c>
      <c r="Q2296" s="12" t="s">
        <v>1184</v>
      </c>
      <c r="R2296" s="17" t="s">
        <v>1185</v>
      </c>
      <c r="S2296" s="11"/>
      <c r="T2296" s="11"/>
      <c r="U2296" s="10" t="str">
        <f>HYPERLINK("https://pbs.twimg.com/profile_images/623951932156215296/vJAxlHSS.jpg","View")</f>
        <v>View</v>
      </c>
    </row>
    <row r="2297" spans="1:21" ht="40.799999999999997">
      <c r="A2297" s="6">
        <v>43438.554270833338</v>
      </c>
      <c r="B2297" s="7" t="str">
        <f>HYPERLINK("https://twitter.com/anadebande","@anadebande")</f>
        <v>@anadebande</v>
      </c>
      <c r="C2297" s="8" t="s">
        <v>4981</v>
      </c>
      <c r="D2297" s="9" t="s">
        <v>7533</v>
      </c>
      <c r="E2297" s="10" t="str">
        <f>HYPERLINK("https://twitter.com/anadebande/status/1069928845518757888","1069928845518757888")</f>
        <v>1069928845518757888</v>
      </c>
      <c r="F2297" s="11"/>
      <c r="G2297" s="13" t="s">
        <v>7534</v>
      </c>
      <c r="H2297" s="11"/>
      <c r="I2297" s="14">
        <v>136</v>
      </c>
      <c r="J2297" s="14">
        <v>115</v>
      </c>
      <c r="K2297" s="15" t="str">
        <f>HYPERLINK("http://twitter.com/download/iphone","Twitter for iPhone")</f>
        <v>Twitter for iPhone</v>
      </c>
      <c r="L2297" s="14">
        <v>6299</v>
      </c>
      <c r="M2297" s="14">
        <v>587</v>
      </c>
      <c r="N2297" s="14">
        <v>133</v>
      </c>
      <c r="O2297" s="19" t="s">
        <v>42</v>
      </c>
      <c r="P2297" s="6">
        <v>40841.422974537039</v>
      </c>
      <c r="Q2297" s="12" t="s">
        <v>4988</v>
      </c>
      <c r="R2297" s="17" t="s">
        <v>4989</v>
      </c>
      <c r="S2297" s="13" t="s">
        <v>4990</v>
      </c>
      <c r="T2297" s="11"/>
      <c r="U2297" s="10" t="str">
        <f>HYPERLINK("https://pbs.twimg.com/profile_images/995293783087566848/o2-SvK9e.jpg","View")</f>
        <v>View</v>
      </c>
    </row>
    <row r="2298" spans="1:21" ht="40.799999999999997">
      <c r="A2298" s="6">
        <v>43438.55400462963</v>
      </c>
      <c r="B2298" s="7" t="str">
        <f>HYPERLINK("https://twitter.com/chamailleries","@chamailleries")</f>
        <v>@chamailleries</v>
      </c>
      <c r="C2298" s="8" t="s">
        <v>8470</v>
      </c>
      <c r="D2298" s="9" t="s">
        <v>8471</v>
      </c>
      <c r="E2298" s="10" t="str">
        <f>HYPERLINK("https://twitter.com/chamailleries/status/1069928748349308928","1069928748349308928")</f>
        <v>1069928748349308928</v>
      </c>
      <c r="F2298" s="11"/>
      <c r="G2298" s="11"/>
      <c r="H2298" s="11"/>
      <c r="I2298" s="14">
        <v>0</v>
      </c>
      <c r="J2298" s="14">
        <v>0</v>
      </c>
      <c r="K2298" s="15" t="str">
        <f t="shared" ref="K2298:K2301" si="452">HYPERLINK("http://twitter.com/download/android","Twitter for Android")</f>
        <v>Twitter for Android</v>
      </c>
      <c r="L2298" s="14">
        <v>171</v>
      </c>
      <c r="M2298" s="14">
        <v>187</v>
      </c>
      <c r="N2298" s="14">
        <v>4</v>
      </c>
      <c r="O2298" s="16"/>
      <c r="P2298" s="6">
        <v>40917.541851851856</v>
      </c>
      <c r="Q2298" s="12" t="s">
        <v>8472</v>
      </c>
      <c r="R2298" s="17" t="s">
        <v>8473</v>
      </c>
      <c r="S2298" s="11"/>
      <c r="T2298" s="11"/>
      <c r="U2298" s="10" t="str">
        <f>HYPERLINK("https://pbs.twimg.com/profile_images/1034787610038812672/zlHcd55V.jpg","View")</f>
        <v>View</v>
      </c>
    </row>
    <row r="2299" spans="1:21" ht="71.400000000000006">
      <c r="A2299" s="6">
        <v>43438.552210648151</v>
      </c>
      <c r="B2299" s="7" t="str">
        <f>HYPERLINK("https://twitter.com/Hispaniammagnas","@Hispaniammagnas")</f>
        <v>@Hispaniammagnas</v>
      </c>
      <c r="C2299" s="8" t="s">
        <v>7535</v>
      </c>
      <c r="D2299" s="9" t="s">
        <v>7536</v>
      </c>
      <c r="E2299" s="10" t="str">
        <f>HYPERLINK("https://twitter.com/Hispaniammagnas/status/1069928097863077888","1069928097863077888")</f>
        <v>1069928097863077888</v>
      </c>
      <c r="F2299" s="13" t="s">
        <v>7537</v>
      </c>
      <c r="G2299" s="13" t="s">
        <v>6229</v>
      </c>
      <c r="H2299" s="11"/>
      <c r="I2299" s="14">
        <v>0</v>
      </c>
      <c r="J2299" s="14">
        <v>0</v>
      </c>
      <c r="K2299" s="15" t="str">
        <f t="shared" si="452"/>
        <v>Twitter for Android</v>
      </c>
      <c r="L2299" s="14">
        <v>467</v>
      </c>
      <c r="M2299" s="14">
        <v>537</v>
      </c>
      <c r="N2299" s="14">
        <v>28</v>
      </c>
      <c r="O2299" s="16"/>
      <c r="P2299" s="6">
        <v>42333.975983796292</v>
      </c>
      <c r="Q2299" s="12" t="s">
        <v>137</v>
      </c>
      <c r="R2299" s="17" t="s">
        <v>7538</v>
      </c>
      <c r="S2299" s="11"/>
      <c r="T2299" s="11"/>
      <c r="U2299" s="10" t="str">
        <f>HYPERLINK("https://pbs.twimg.com/profile_images/981193731037696001/bT54B8aN.jpg","View")</f>
        <v>View</v>
      </c>
    </row>
    <row r="2300" spans="1:21" ht="40.799999999999997">
      <c r="A2300" s="6">
        <v>43438.550925925927</v>
      </c>
      <c r="B2300" s="7" t="str">
        <f>HYPERLINK("https://twitter.com/jaumeors","@jaumeors")</f>
        <v>@jaumeors</v>
      </c>
      <c r="C2300" s="8" t="s">
        <v>7539</v>
      </c>
      <c r="D2300" s="9" t="s">
        <v>7540</v>
      </c>
      <c r="E2300" s="10" t="str">
        <f>HYPERLINK("https://twitter.com/jaumeors/status/1069927630324027398","1069927630324027398")</f>
        <v>1069927630324027398</v>
      </c>
      <c r="F2300" s="12" t="s">
        <v>7541</v>
      </c>
      <c r="G2300" s="11"/>
      <c r="H2300" s="11"/>
      <c r="I2300" s="14">
        <v>0</v>
      </c>
      <c r="J2300" s="14">
        <v>1</v>
      </c>
      <c r="K2300" s="15" t="str">
        <f t="shared" si="452"/>
        <v>Twitter for Android</v>
      </c>
      <c r="L2300" s="14">
        <v>2352</v>
      </c>
      <c r="M2300" s="14">
        <v>1760</v>
      </c>
      <c r="N2300" s="14">
        <v>35</v>
      </c>
      <c r="O2300" s="16"/>
      <c r="P2300" s="6">
        <v>40804.792037037041</v>
      </c>
      <c r="Q2300" s="12" t="s">
        <v>1785</v>
      </c>
      <c r="R2300" s="17" t="s">
        <v>7543</v>
      </c>
      <c r="S2300" s="11"/>
      <c r="T2300" s="11"/>
      <c r="U2300" s="10" t="str">
        <f>HYPERLINK("https://pbs.twimg.com/profile_images/1070856399289225217/TWix4zbV.jpg","View")</f>
        <v>View</v>
      </c>
    </row>
    <row r="2301" spans="1:21" ht="30.6">
      <c r="A2301" s="6">
        <v>43438.548657407402</v>
      </c>
      <c r="B2301" s="7" t="str">
        <f>HYPERLINK("https://twitter.com/darocaou","@darocaou")</f>
        <v>@darocaou</v>
      </c>
      <c r="C2301" s="8" t="s">
        <v>8474</v>
      </c>
      <c r="D2301" s="9" t="s">
        <v>8475</v>
      </c>
      <c r="E2301" s="10" t="str">
        <f>HYPERLINK("https://twitter.com/darocaou/status/1069926812308963329","1069926812308963329")</f>
        <v>1069926812308963329</v>
      </c>
      <c r="F2301" s="11"/>
      <c r="G2301" s="11"/>
      <c r="H2301" s="11"/>
      <c r="I2301" s="14">
        <v>0</v>
      </c>
      <c r="J2301" s="14">
        <v>0</v>
      </c>
      <c r="K2301" s="15" t="str">
        <f t="shared" si="452"/>
        <v>Twitter for Android</v>
      </c>
      <c r="L2301" s="14">
        <v>229</v>
      </c>
      <c r="M2301" s="14">
        <v>887</v>
      </c>
      <c r="N2301" s="14">
        <v>9</v>
      </c>
      <c r="O2301" s="16"/>
      <c r="P2301" s="6">
        <v>40980.141724537039</v>
      </c>
      <c r="Q2301" s="12" t="s">
        <v>8476</v>
      </c>
      <c r="R2301" s="17" t="s">
        <v>8477</v>
      </c>
      <c r="S2301" s="11"/>
      <c r="T2301" s="11"/>
      <c r="U2301" s="10" t="str">
        <f>HYPERLINK("https://pbs.twimg.com/profile_images/745051236517437441/zlCLodpd.jpg","View")</f>
        <v>View</v>
      </c>
    </row>
    <row r="2302" spans="1:21" ht="51">
      <c r="A2302" s="6">
        <v>43438.545844907407</v>
      </c>
      <c r="B2302" s="7" t="str">
        <f>HYPERLINK("https://twitter.com/iangulochacon","@iangulochacon")</f>
        <v>@iangulochacon</v>
      </c>
      <c r="C2302" s="8" t="s">
        <v>4600</v>
      </c>
      <c r="D2302" s="9" t="s">
        <v>4601</v>
      </c>
      <c r="E2302" s="10" t="str">
        <f>HYPERLINK("https://twitter.com/iangulochacon/status/1069925789934718976","1069925789934718976")</f>
        <v>1069925789934718976</v>
      </c>
      <c r="F2302" s="11"/>
      <c r="G2302" s="13" t="s">
        <v>4602</v>
      </c>
      <c r="H2302" s="11"/>
      <c r="I2302" s="14">
        <v>1</v>
      </c>
      <c r="J2302" s="14">
        <v>1</v>
      </c>
      <c r="K2302" s="15" t="str">
        <f>HYPERLINK("http://twitter.com","Twitter Web Client")</f>
        <v>Twitter Web Client</v>
      </c>
      <c r="L2302" s="14">
        <v>15859</v>
      </c>
      <c r="M2302" s="14">
        <v>16544</v>
      </c>
      <c r="N2302" s="14">
        <v>47</v>
      </c>
      <c r="O2302" s="16"/>
      <c r="P2302" s="6">
        <v>40213.701550925922</v>
      </c>
      <c r="Q2302" s="11"/>
      <c r="R2302" s="17" t="s">
        <v>4603</v>
      </c>
      <c r="S2302" s="11"/>
      <c r="T2302" s="11"/>
      <c r="U2302" s="10" t="str">
        <f>HYPERLINK("https://pbs.twimg.com/profile_images/378800000414505215/c08cd7eacd21b304319f72f6dca86b7d.jpeg","View")</f>
        <v>View</v>
      </c>
    </row>
    <row r="2303" spans="1:21" ht="30.6">
      <c r="A2303" s="6">
        <v>43438.544085648144</v>
      </c>
      <c r="B2303" s="7" t="str">
        <f>HYPERLINK("https://twitter.com/GquirogaGonzalo","@GquirogaGonzalo")</f>
        <v>@GquirogaGonzalo</v>
      </c>
      <c r="C2303" s="8" t="s">
        <v>4736</v>
      </c>
      <c r="D2303" s="9" t="s">
        <v>8478</v>
      </c>
      <c r="E2303" s="10" t="str">
        <f>HYPERLINK("https://twitter.com/GquirogaGonzalo/status/1069925151876231168","1069925151876231168")</f>
        <v>1069925151876231168</v>
      </c>
      <c r="F2303" s="11"/>
      <c r="G2303" s="11"/>
      <c r="H2303" s="11"/>
      <c r="I2303" s="14">
        <v>1</v>
      </c>
      <c r="J2303" s="14">
        <v>2</v>
      </c>
      <c r="K2303" s="15" t="str">
        <f t="shared" ref="K2303:K2304" si="453">HYPERLINK("http://twitter.com/download/android","Twitter for Android")</f>
        <v>Twitter for Android</v>
      </c>
      <c r="L2303" s="14">
        <v>2865</v>
      </c>
      <c r="M2303" s="14">
        <v>5001</v>
      </c>
      <c r="N2303" s="14">
        <v>31</v>
      </c>
      <c r="O2303" s="16"/>
      <c r="P2303" s="6">
        <v>41614.554907407408</v>
      </c>
      <c r="Q2303" s="11"/>
      <c r="R2303" s="17" t="s">
        <v>4738</v>
      </c>
      <c r="S2303" s="11"/>
      <c r="T2303" s="11"/>
      <c r="U2303" s="10" t="str">
        <f>HYPERLINK("https://pbs.twimg.com/profile_images/928029513669332992/h42Zg1ls.jpg","View")</f>
        <v>View</v>
      </c>
    </row>
    <row r="2304" spans="1:21" ht="61.2">
      <c r="A2304" s="6">
        <v>43438.543935185182</v>
      </c>
      <c r="B2304" s="7" t="str">
        <f>HYPERLINK("https://twitter.com/1987_adra","@1987_adra")</f>
        <v>@1987_adra</v>
      </c>
      <c r="C2304" s="8" t="s">
        <v>7545</v>
      </c>
      <c r="D2304" s="9" t="s">
        <v>7546</v>
      </c>
      <c r="E2304" s="10" t="str">
        <f>HYPERLINK("https://twitter.com/1987_adra/status/1069925100881874944","1069925100881874944")</f>
        <v>1069925100881874944</v>
      </c>
      <c r="F2304" s="11"/>
      <c r="G2304" s="11"/>
      <c r="H2304" s="11"/>
      <c r="I2304" s="14">
        <v>0</v>
      </c>
      <c r="J2304" s="14">
        <v>0</v>
      </c>
      <c r="K2304" s="15" t="str">
        <f t="shared" si="453"/>
        <v>Twitter for Android</v>
      </c>
      <c r="L2304" s="14">
        <v>635</v>
      </c>
      <c r="M2304" s="14">
        <v>601</v>
      </c>
      <c r="N2304" s="14">
        <v>5</v>
      </c>
      <c r="O2304" s="16"/>
      <c r="P2304" s="6">
        <v>42023.812291666662</v>
      </c>
      <c r="Q2304" s="12" t="s">
        <v>7547</v>
      </c>
      <c r="R2304" s="17" t="s">
        <v>7548</v>
      </c>
      <c r="S2304" s="11"/>
      <c r="T2304" s="11"/>
      <c r="U2304" s="10" t="str">
        <f>HYPERLINK("https://pbs.twimg.com/profile_images/1038803752797564928/H3QQEoEF.jpg","View")</f>
        <v>View</v>
      </c>
    </row>
    <row r="2305" spans="1:21" ht="51">
      <c r="A2305" s="6">
        <v>43438.540439814809</v>
      </c>
      <c r="B2305" s="7" t="str">
        <f>HYPERLINK("https://twitter.com/Cescbaez","@Cescbaez")</f>
        <v>@Cescbaez</v>
      </c>
      <c r="C2305" s="8" t="s">
        <v>8479</v>
      </c>
      <c r="D2305" s="9" t="s">
        <v>8480</v>
      </c>
      <c r="E2305" s="10" t="str">
        <f>HYPERLINK("https://twitter.com/Cescbaez/status/1069923833036070912","1069923833036070912")</f>
        <v>1069923833036070912</v>
      </c>
      <c r="F2305" s="11"/>
      <c r="G2305" s="11"/>
      <c r="H2305" s="11"/>
      <c r="I2305" s="14">
        <v>2</v>
      </c>
      <c r="J2305" s="14">
        <v>10</v>
      </c>
      <c r="K2305" s="15" t="str">
        <f>HYPERLINK("http://twitter.com","Twitter Web Client")</f>
        <v>Twitter Web Client</v>
      </c>
      <c r="L2305" s="14">
        <v>1351</v>
      </c>
      <c r="M2305" s="14">
        <v>1567</v>
      </c>
      <c r="N2305" s="14">
        <v>35</v>
      </c>
      <c r="O2305" s="16"/>
      <c r="P2305" s="6">
        <v>40617.937789351854</v>
      </c>
      <c r="Q2305" s="12" t="s">
        <v>8481</v>
      </c>
      <c r="R2305" s="17" t="s">
        <v>8482</v>
      </c>
      <c r="S2305" s="11"/>
      <c r="T2305" s="11"/>
      <c r="U2305" s="10" t="str">
        <f>HYPERLINK("https://pbs.twimg.com/profile_images/1009787955077177347/t2NPGSVG.jpg","View")</f>
        <v>View</v>
      </c>
    </row>
    <row r="2306" spans="1:21" ht="51">
      <c r="A2306" s="6">
        <v>43438.539537037039</v>
      </c>
      <c r="B2306" s="7" t="str">
        <f>HYPERLINK("https://twitter.com/JUAN032402","@JUAN032402")</f>
        <v>@JUAN032402</v>
      </c>
      <c r="C2306" s="8" t="s">
        <v>8483</v>
      </c>
      <c r="D2306" s="9" t="s">
        <v>8484</v>
      </c>
      <c r="E2306" s="10" t="str">
        <f>HYPERLINK("https://twitter.com/JUAN032402/status/1069923504177496064","1069923504177496064")</f>
        <v>1069923504177496064</v>
      </c>
      <c r="F2306" s="11"/>
      <c r="G2306" s="13" t="s">
        <v>8485</v>
      </c>
      <c r="H2306" s="11"/>
      <c r="I2306" s="14">
        <v>3</v>
      </c>
      <c r="J2306" s="14">
        <v>3</v>
      </c>
      <c r="K2306" s="15" t="str">
        <f>HYPERLINK("https://mobile.twitter.com","Twitter Lite")</f>
        <v>Twitter Lite</v>
      </c>
      <c r="L2306" s="14">
        <v>70</v>
      </c>
      <c r="M2306" s="14">
        <v>105</v>
      </c>
      <c r="N2306" s="14">
        <v>2</v>
      </c>
      <c r="O2306" s="16"/>
      <c r="P2306" s="6">
        <v>41699.489537037036</v>
      </c>
      <c r="Q2306" s="11"/>
      <c r="R2306" s="18"/>
      <c r="S2306" s="11"/>
      <c r="T2306" s="11"/>
      <c r="U2306" s="10" t="str">
        <f>HYPERLINK("https://pbs.twimg.com/profile_images/439721605988483072/cn08ZCiP.jpeg","View")</f>
        <v>View</v>
      </c>
    </row>
    <row r="2307" spans="1:21" ht="71.400000000000006">
      <c r="A2307" s="6">
        <v>43438.539224537039</v>
      </c>
      <c r="B2307" s="7" t="str">
        <f>HYPERLINK("https://twitter.com/juntaenfurecida","@juntaenfurecida")</f>
        <v>@juntaenfurecida</v>
      </c>
      <c r="C2307" s="8" t="s">
        <v>7549</v>
      </c>
      <c r="D2307" s="9" t="s">
        <v>7550</v>
      </c>
      <c r="E2307" s="10" t="str">
        <f>HYPERLINK("https://twitter.com/juntaenfurecida/status/1069923390646116352","1069923390646116352")</f>
        <v>1069923390646116352</v>
      </c>
      <c r="F2307" s="13" t="s">
        <v>7551</v>
      </c>
      <c r="G2307" s="11"/>
      <c r="H2307" s="11"/>
      <c r="I2307" s="14">
        <v>0</v>
      </c>
      <c r="J2307" s="14">
        <v>1</v>
      </c>
      <c r="K2307" s="15" t="str">
        <f>HYPERLINK("http://twitter.com/download/iphone","Twitter for iPhone")</f>
        <v>Twitter for iPhone</v>
      </c>
      <c r="L2307" s="14">
        <v>254</v>
      </c>
      <c r="M2307" s="14">
        <v>307</v>
      </c>
      <c r="N2307" s="14">
        <v>3</v>
      </c>
      <c r="O2307" s="16"/>
      <c r="P2307" s="6">
        <v>41018.997974537036</v>
      </c>
      <c r="Q2307" s="12" t="s">
        <v>7554</v>
      </c>
      <c r="R2307" s="17" t="s">
        <v>7555</v>
      </c>
      <c r="S2307" s="11"/>
      <c r="T2307" s="11"/>
      <c r="U2307" s="10" t="str">
        <f>HYPERLINK("https://pbs.twimg.com/profile_images/2148027995/Ri_a_a_garrotazosQ.jpg","View")</f>
        <v>View</v>
      </c>
    </row>
    <row r="2308" spans="1:21" ht="40.799999999999997">
      <c r="A2308" s="6">
        <v>43438.534826388888</v>
      </c>
      <c r="B2308" s="7" t="str">
        <f>HYPERLINK("https://twitter.com/JUAN032402","@JUAN032402")</f>
        <v>@JUAN032402</v>
      </c>
      <c r="C2308" s="8" t="s">
        <v>8483</v>
      </c>
      <c r="D2308" s="9" t="s">
        <v>8486</v>
      </c>
      <c r="E2308" s="10" t="str">
        <f>HYPERLINK("https://twitter.com/JUAN032402/status/1069921797863288833","1069921797863288833")</f>
        <v>1069921797863288833</v>
      </c>
      <c r="F2308" s="11"/>
      <c r="G2308" s="13" t="s">
        <v>8487</v>
      </c>
      <c r="H2308" s="11"/>
      <c r="I2308" s="14">
        <v>1</v>
      </c>
      <c r="J2308" s="14">
        <v>2</v>
      </c>
      <c r="K2308" s="15" t="str">
        <f>HYPERLINK("https://mobile.twitter.com","Twitter Lite")</f>
        <v>Twitter Lite</v>
      </c>
      <c r="L2308" s="14">
        <v>70</v>
      </c>
      <c r="M2308" s="14">
        <v>105</v>
      </c>
      <c r="N2308" s="14">
        <v>2</v>
      </c>
      <c r="O2308" s="16"/>
      <c r="P2308" s="6">
        <v>41699.489537037036</v>
      </c>
      <c r="Q2308" s="11"/>
      <c r="R2308" s="18"/>
      <c r="S2308" s="11"/>
      <c r="T2308" s="11"/>
      <c r="U2308" s="10" t="str">
        <f>HYPERLINK("https://pbs.twimg.com/profile_images/439721605988483072/cn08ZCiP.jpeg","View")</f>
        <v>View</v>
      </c>
    </row>
    <row r="2309" spans="1:21" ht="40.799999999999997">
      <c r="A2309" s="6">
        <v>43438.534108796295</v>
      </c>
      <c r="B2309" s="7" t="str">
        <f>HYPERLINK("https://twitter.com/NivelDiosa","@NivelDiosa")</f>
        <v>@NivelDiosa</v>
      </c>
      <c r="C2309" s="8" t="s">
        <v>7557</v>
      </c>
      <c r="D2309" s="9" t="s">
        <v>7558</v>
      </c>
      <c r="E2309" s="10" t="str">
        <f>HYPERLINK("https://twitter.com/NivelDiosa/status/1069921539921977346","1069921539921977346")</f>
        <v>1069921539921977346</v>
      </c>
      <c r="F2309" s="11"/>
      <c r="G2309" s="13" t="s">
        <v>7559</v>
      </c>
      <c r="H2309" s="11"/>
      <c r="I2309" s="14">
        <v>1</v>
      </c>
      <c r="J2309" s="14">
        <v>3</v>
      </c>
      <c r="K2309" s="15" t="str">
        <f>HYPERLINK("http://twitter.com","Twitter Web Client")</f>
        <v>Twitter Web Client</v>
      </c>
      <c r="L2309" s="14">
        <v>1984</v>
      </c>
      <c r="M2309" s="14">
        <v>516</v>
      </c>
      <c r="N2309" s="14">
        <v>36</v>
      </c>
      <c r="O2309" s="16"/>
      <c r="P2309" s="6">
        <v>40535.924016203702</v>
      </c>
      <c r="Q2309" s="12" t="s">
        <v>87</v>
      </c>
      <c r="R2309" s="17" t="s">
        <v>7560</v>
      </c>
      <c r="S2309" s="11"/>
      <c r="T2309" s="11"/>
      <c r="U2309" s="10" t="str">
        <f>HYPERLINK("https://pbs.twimg.com/profile_images/972018280352362496/UBrhgn4f.jpg","View")</f>
        <v>View</v>
      </c>
    </row>
    <row r="2310" spans="1:21" ht="40.799999999999997">
      <c r="A2310" s="6">
        <v>43438.53402777778</v>
      </c>
      <c r="B2310" s="7" t="str">
        <f>HYPERLINK("https://twitter.com/Albert_Rivera","@Albert_Rivera")</f>
        <v>@Albert_Rivera</v>
      </c>
      <c r="C2310" s="8" t="s">
        <v>443</v>
      </c>
      <c r="D2310" s="9" t="s">
        <v>8488</v>
      </c>
      <c r="E2310" s="10" t="str">
        <f>HYPERLINK("https://twitter.com/Albert_Rivera/status/1069921507084779520","1069921507084779520")</f>
        <v>1069921507084779520</v>
      </c>
      <c r="F2310" s="11"/>
      <c r="G2310" s="13" t="s">
        <v>6229</v>
      </c>
      <c r="H2310" s="11"/>
      <c r="I2310" s="14">
        <v>795</v>
      </c>
      <c r="J2310" s="14">
        <v>1897</v>
      </c>
      <c r="K2310" s="15" t="str">
        <f t="shared" ref="K2310:K2311" si="454">HYPERLINK("http://twitter.com/download/iphone","Twitter for iPhone")</f>
        <v>Twitter for iPhone</v>
      </c>
      <c r="L2310" s="14">
        <v>1075808</v>
      </c>
      <c r="M2310" s="14">
        <v>2547</v>
      </c>
      <c r="N2310" s="14">
        <v>5114</v>
      </c>
      <c r="O2310" s="19" t="s">
        <v>42</v>
      </c>
      <c r="P2310" s="6">
        <v>40205.748171296298</v>
      </c>
      <c r="Q2310" s="12" t="s">
        <v>137</v>
      </c>
      <c r="R2310" s="17" t="s">
        <v>450</v>
      </c>
      <c r="S2310" s="13" t="s">
        <v>452</v>
      </c>
      <c r="T2310" s="11"/>
      <c r="U2310" s="10" t="str">
        <f>HYPERLINK("https://pbs.twimg.com/profile_images/1030708936779988993/RncDM4EZ.jpg","View")</f>
        <v>View</v>
      </c>
    </row>
    <row r="2311" spans="1:21" ht="81.599999999999994">
      <c r="A2311" s="6">
        <v>43438.532569444447</v>
      </c>
      <c r="B2311" s="7" t="str">
        <f>HYPERLINK("https://twitter.com/IbericaIris","@IbericaIris")</f>
        <v>@IbericaIris</v>
      </c>
      <c r="C2311" s="8" t="s">
        <v>7561</v>
      </c>
      <c r="D2311" s="9" t="s">
        <v>7562</v>
      </c>
      <c r="E2311" s="10" t="str">
        <f>HYPERLINK("https://twitter.com/IbericaIris/status/1069920981060382720","1069920981060382720")</f>
        <v>1069920981060382720</v>
      </c>
      <c r="F2311" s="12" t="s">
        <v>7563</v>
      </c>
      <c r="G2311" s="11"/>
      <c r="H2311" s="11"/>
      <c r="I2311" s="14">
        <v>1</v>
      </c>
      <c r="J2311" s="14">
        <v>2</v>
      </c>
      <c r="K2311" s="15" t="str">
        <f t="shared" si="454"/>
        <v>Twitter for iPhone</v>
      </c>
      <c r="L2311" s="14">
        <v>194</v>
      </c>
      <c r="M2311" s="14">
        <v>410</v>
      </c>
      <c r="N2311" s="14">
        <v>0</v>
      </c>
      <c r="O2311" s="16"/>
      <c r="P2311" s="6">
        <v>43428.067118055551</v>
      </c>
      <c r="Q2311" s="12" t="s">
        <v>137</v>
      </c>
      <c r="R2311" s="17" t="s">
        <v>7567</v>
      </c>
      <c r="S2311" s="11"/>
      <c r="T2311" s="11"/>
      <c r="U2311" s="10" t="str">
        <f>HYPERLINK("https://pbs.twimg.com/profile_images/1068321497729638400/ag5ZJNVm.jpg","View")</f>
        <v>View</v>
      </c>
    </row>
    <row r="2312" spans="1:21" ht="20.399999999999999">
      <c r="A2312" s="6">
        <v>43438.532523148147</v>
      </c>
      <c r="B2312" s="7" t="str">
        <f>HYPERLINK("https://twitter.com/zamozu","@zamozu")</f>
        <v>@zamozu</v>
      </c>
      <c r="C2312" s="8" t="s">
        <v>8489</v>
      </c>
      <c r="D2312" s="9" t="s">
        <v>8490</v>
      </c>
      <c r="E2312" s="10" t="str">
        <f>HYPERLINK("https://twitter.com/zamozu/status/1069920963859501057","1069920963859501057")</f>
        <v>1069920963859501057</v>
      </c>
      <c r="F2312" s="13" t="s">
        <v>8491</v>
      </c>
      <c r="G2312" s="11"/>
      <c r="H2312" s="11"/>
      <c r="I2312" s="14">
        <v>0</v>
      </c>
      <c r="J2312" s="14">
        <v>0</v>
      </c>
      <c r="K2312" s="15" t="str">
        <f>HYPERLINK("http://twitter.com","Twitter Web Client")</f>
        <v>Twitter Web Client</v>
      </c>
      <c r="L2312" s="14">
        <v>624</v>
      </c>
      <c r="M2312" s="14">
        <v>1496</v>
      </c>
      <c r="N2312" s="14">
        <v>2</v>
      </c>
      <c r="O2312" s="16"/>
      <c r="P2312" s="6">
        <v>40641.783576388887</v>
      </c>
      <c r="Q2312" s="12" t="s">
        <v>137</v>
      </c>
      <c r="R2312" s="17" t="s">
        <v>8492</v>
      </c>
      <c r="S2312" s="13" t="s">
        <v>8493</v>
      </c>
      <c r="T2312" s="11"/>
      <c r="U2312" s="10" t="str">
        <f>HYPERLINK("https://pbs.twimg.com/profile_images/1877270561/09.jpg","View")</f>
        <v>View</v>
      </c>
    </row>
    <row r="2313" spans="1:21" ht="71.400000000000006">
      <c r="A2313" s="6">
        <v>43438.530335648145</v>
      </c>
      <c r="B2313" s="7" t="str">
        <f>HYPERLINK("https://twitter.com/FortunaMoneta","@FortunaMoneta")</f>
        <v>@FortunaMoneta</v>
      </c>
      <c r="C2313" s="8" t="s">
        <v>7569</v>
      </c>
      <c r="D2313" s="9" t="s">
        <v>7570</v>
      </c>
      <c r="E2313" s="10" t="str">
        <f>HYPERLINK("https://twitter.com/FortunaMoneta/status/1069920172344000512","1069920172344000512")</f>
        <v>1069920172344000512</v>
      </c>
      <c r="F2313" s="13" t="s">
        <v>7571</v>
      </c>
      <c r="G2313" s="13" t="s">
        <v>7572</v>
      </c>
      <c r="H2313" s="11"/>
      <c r="I2313" s="14">
        <v>0</v>
      </c>
      <c r="J2313" s="14">
        <v>0</v>
      </c>
      <c r="K2313" s="15" t="str">
        <f t="shared" ref="K2313:K2314" si="455">HYPERLINK("http://twitter.com/download/android","Twitter for Android")</f>
        <v>Twitter for Android</v>
      </c>
      <c r="L2313" s="14">
        <v>180</v>
      </c>
      <c r="M2313" s="14">
        <v>515</v>
      </c>
      <c r="N2313" s="14">
        <v>0</v>
      </c>
      <c r="O2313" s="16"/>
      <c r="P2313" s="6">
        <v>42761.837407407409</v>
      </c>
      <c r="Q2313" s="12" t="s">
        <v>7573</v>
      </c>
      <c r="R2313" s="17" t="s">
        <v>7574</v>
      </c>
      <c r="S2313" s="11"/>
      <c r="T2313" s="11"/>
      <c r="U2313" s="10" t="str">
        <f>HYPERLINK("https://pbs.twimg.com/profile_images/936747683863252992/Is7t00FG.jpg","View")</f>
        <v>View</v>
      </c>
    </row>
    <row r="2314" spans="1:21" ht="51">
      <c r="A2314" s="6">
        <v>43438.529386574075</v>
      </c>
      <c r="B2314" s="7" t="str">
        <f>HYPERLINK("https://twitter.com/izquierducha","@izquierducha")</f>
        <v>@izquierducha</v>
      </c>
      <c r="C2314" s="8" t="s">
        <v>7575</v>
      </c>
      <c r="D2314" s="9" t="s">
        <v>7576</v>
      </c>
      <c r="E2314" s="10" t="str">
        <f>HYPERLINK("https://twitter.com/izquierducha/status/1069919827576414211","1069919827576414211")</f>
        <v>1069919827576414211</v>
      </c>
      <c r="F2314" s="11"/>
      <c r="G2314" s="11"/>
      <c r="H2314" s="11"/>
      <c r="I2314" s="14">
        <v>1</v>
      </c>
      <c r="J2314" s="14">
        <v>4</v>
      </c>
      <c r="K2314" s="15" t="str">
        <f t="shared" si="455"/>
        <v>Twitter for Android</v>
      </c>
      <c r="L2314" s="14">
        <v>1210</v>
      </c>
      <c r="M2314" s="14">
        <v>1023</v>
      </c>
      <c r="N2314" s="14">
        <v>29</v>
      </c>
      <c r="O2314" s="16"/>
      <c r="P2314" s="6">
        <v>41772.471979166665</v>
      </c>
      <c r="Q2314" s="12" t="s">
        <v>7577</v>
      </c>
      <c r="R2314" s="17" t="s">
        <v>7578</v>
      </c>
      <c r="S2314" s="11"/>
      <c r="T2314" s="11"/>
      <c r="U2314" s="10" t="str">
        <f>HYPERLINK("https://pbs.twimg.com/profile_images/1008724379734245376/yinm5uv5.jpg","View")</f>
        <v>View</v>
      </c>
    </row>
    <row r="2315" spans="1:21" ht="40.799999999999997">
      <c r="A2315" s="6">
        <v>43438.526238425926</v>
      </c>
      <c r="B2315" s="7" t="str">
        <f>HYPERLINK("https://twitter.com/dakaufman123","@dakaufman123")</f>
        <v>@dakaufman123</v>
      </c>
      <c r="C2315" s="8" t="s">
        <v>7579</v>
      </c>
      <c r="D2315" s="9" t="s">
        <v>7580</v>
      </c>
      <c r="E2315" s="10" t="str">
        <f>HYPERLINK("https://twitter.com/dakaufman123/status/1069918685522026497","1069918685522026497")</f>
        <v>1069918685522026497</v>
      </c>
      <c r="F2315" s="11"/>
      <c r="G2315" s="11"/>
      <c r="H2315" s="11"/>
      <c r="I2315" s="14">
        <v>0</v>
      </c>
      <c r="J2315" s="14">
        <v>0</v>
      </c>
      <c r="K2315" s="15" t="str">
        <f>HYPERLINK("http://twitter.com/#!/download/ipad","Twitter for iPad")</f>
        <v>Twitter for iPad</v>
      </c>
      <c r="L2315" s="14">
        <v>203</v>
      </c>
      <c r="M2315" s="14">
        <v>173</v>
      </c>
      <c r="N2315" s="14">
        <v>1</v>
      </c>
      <c r="O2315" s="16"/>
      <c r="P2315" s="6">
        <v>42758.520115740743</v>
      </c>
      <c r="Q2315" s="12" t="s">
        <v>7581</v>
      </c>
      <c r="R2315" s="17" t="s">
        <v>7582</v>
      </c>
      <c r="S2315" s="13" t="s">
        <v>7583</v>
      </c>
      <c r="T2315" s="11"/>
      <c r="U2315" s="10" t="str">
        <f>HYPERLINK("https://pbs.twimg.com/profile_images/948304466310135808/_sOi6cO-.jpg","View")</f>
        <v>View</v>
      </c>
    </row>
    <row r="2316" spans="1:21" ht="40.799999999999997">
      <c r="A2316" s="6">
        <v>43438.526053240741</v>
      </c>
      <c r="B2316" s="7" t="str">
        <f>HYPERLINK("https://twitter.com/qqqqetru","@qqqqetru")</f>
        <v>@qqqqetru</v>
      </c>
      <c r="C2316" s="8" t="s">
        <v>2649</v>
      </c>
      <c r="D2316" s="9" t="s">
        <v>8494</v>
      </c>
      <c r="E2316" s="10" t="str">
        <f>HYPERLINK("https://twitter.com/qqqqetru/status/1069918618178215936","1069918618178215936")</f>
        <v>1069918618178215936</v>
      </c>
      <c r="F2316" s="11"/>
      <c r="G2316" s="11"/>
      <c r="H2316" s="11"/>
      <c r="I2316" s="14">
        <v>25</v>
      </c>
      <c r="J2316" s="14">
        <v>37</v>
      </c>
      <c r="K2316" s="15" t="str">
        <f t="shared" ref="K2316:K2317" si="456">HYPERLINK("http://twitter.com/download/android","Twitter for Android")</f>
        <v>Twitter for Android</v>
      </c>
      <c r="L2316" s="14">
        <v>649</v>
      </c>
      <c r="M2316" s="14">
        <v>1194</v>
      </c>
      <c r="N2316" s="14">
        <v>2</v>
      </c>
      <c r="O2316" s="16"/>
      <c r="P2316" s="6">
        <v>40749.437719907408</v>
      </c>
      <c r="Q2316" s="11"/>
      <c r="R2316" s="18"/>
      <c r="S2316" s="11"/>
      <c r="T2316" s="11"/>
      <c r="U2316" s="10" t="str">
        <f>HYPERLINK("https://pbs.twimg.com/profile_images/1069734331780870144/d_KYpBFy.jpg","View")</f>
        <v>View</v>
      </c>
    </row>
    <row r="2317" spans="1:21" ht="61.2">
      <c r="A2317" s="6">
        <v>43438.525231481486</v>
      </c>
      <c r="B2317" s="7" t="str">
        <f>HYPERLINK("https://twitter.com/busti46","@busti46")</f>
        <v>@busti46</v>
      </c>
      <c r="C2317" s="8" t="s">
        <v>7127</v>
      </c>
      <c r="D2317" s="9" t="s">
        <v>7584</v>
      </c>
      <c r="E2317" s="10" t="str">
        <f>HYPERLINK("https://twitter.com/busti46/status/1069918319778643968","1069918319778643968")</f>
        <v>1069918319778643968</v>
      </c>
      <c r="F2317" s="12" t="s">
        <v>7585</v>
      </c>
      <c r="G2317" s="11"/>
      <c r="H2317" s="11"/>
      <c r="I2317" s="14">
        <v>2</v>
      </c>
      <c r="J2317" s="14">
        <v>1</v>
      </c>
      <c r="K2317" s="15" t="str">
        <f t="shared" si="456"/>
        <v>Twitter for Android</v>
      </c>
      <c r="L2317" s="14">
        <v>2586</v>
      </c>
      <c r="M2317" s="14">
        <v>3309</v>
      </c>
      <c r="N2317" s="14">
        <v>13</v>
      </c>
      <c r="O2317" s="16"/>
      <c r="P2317" s="6">
        <v>41144.875381944446</v>
      </c>
      <c r="Q2317" s="11"/>
      <c r="R2317" s="17" t="s">
        <v>7134</v>
      </c>
      <c r="S2317" s="11"/>
      <c r="T2317" s="11"/>
      <c r="U2317" s="10" t="str">
        <f>HYPERLINK("https://pbs.twimg.com/profile_images/1034502771540742144/eQbDSv71.jpg","View")</f>
        <v>View</v>
      </c>
    </row>
    <row r="2318" spans="1:21" ht="40.799999999999997">
      <c r="A2318" s="6">
        <v>43438.525081018517</v>
      </c>
      <c r="B2318" s="7" t="str">
        <f>HYPERLINK("https://twitter.com/Indijnante","@Indijnante")</f>
        <v>@Indijnante</v>
      </c>
      <c r="C2318" s="8" t="s">
        <v>4518</v>
      </c>
      <c r="D2318" s="9" t="s">
        <v>7586</v>
      </c>
      <c r="E2318" s="10" t="str">
        <f>HYPERLINK("https://twitter.com/Indijnante/status/1069918266083237888","1069918266083237888")</f>
        <v>1069918266083237888</v>
      </c>
      <c r="F2318" s="11"/>
      <c r="G2318" s="11"/>
      <c r="H2318" s="11"/>
      <c r="I2318" s="14">
        <v>1</v>
      </c>
      <c r="J2318" s="14">
        <v>2</v>
      </c>
      <c r="K2318" s="15" t="str">
        <f>HYPERLINK("http://twitter.com","Twitter Web Client")</f>
        <v>Twitter Web Client</v>
      </c>
      <c r="L2318" s="14">
        <v>602</v>
      </c>
      <c r="M2318" s="14">
        <v>1174</v>
      </c>
      <c r="N2318" s="14">
        <v>10</v>
      </c>
      <c r="O2318" s="16"/>
      <c r="P2318" s="6">
        <v>41845.83184027778</v>
      </c>
      <c r="Q2318" s="12" t="s">
        <v>4518</v>
      </c>
      <c r="R2318" s="17" t="s">
        <v>6050</v>
      </c>
      <c r="S2318" s="11"/>
      <c r="T2318" s="11"/>
      <c r="U2318" s="10" t="str">
        <f>HYPERLINK("https://pbs.twimg.com/profile_images/927485102325665792/fFtVGQ25.jpg","View")</f>
        <v>View</v>
      </c>
    </row>
    <row r="2319" spans="1:21" ht="51">
      <c r="A2319" s="6">
        <v>43438.524629629625</v>
      </c>
      <c r="B2319" s="7" t="str">
        <f>HYPERLINK("https://twitter.com/Gata1_C","@Gata1_C")</f>
        <v>@Gata1_C</v>
      </c>
      <c r="C2319" s="8" t="s">
        <v>246</v>
      </c>
      <c r="D2319" s="9" t="s">
        <v>7587</v>
      </c>
      <c r="E2319" s="10" t="str">
        <f>HYPERLINK("https://twitter.com/Gata1_C/status/1069918104241741825","1069918104241741825")</f>
        <v>1069918104241741825</v>
      </c>
      <c r="F2319" s="11"/>
      <c r="G2319" s="13" t="s">
        <v>7588</v>
      </c>
      <c r="H2319" s="11"/>
      <c r="I2319" s="14">
        <v>4</v>
      </c>
      <c r="J2319" s="14">
        <v>2</v>
      </c>
      <c r="K2319" s="15" t="str">
        <f t="shared" ref="K2319:K2321" si="457">HYPERLINK("http://twitter.com/download/android","Twitter for Android")</f>
        <v>Twitter for Android</v>
      </c>
      <c r="L2319" s="14">
        <v>3876</v>
      </c>
      <c r="M2319" s="14">
        <v>5000</v>
      </c>
      <c r="N2319" s="14">
        <v>8</v>
      </c>
      <c r="O2319" s="16"/>
      <c r="P2319" s="6">
        <v>41393.042939814812</v>
      </c>
      <c r="Q2319" s="12" t="s">
        <v>137</v>
      </c>
      <c r="R2319" s="17" t="s">
        <v>252</v>
      </c>
      <c r="S2319" s="11"/>
      <c r="T2319" s="11"/>
      <c r="U2319" s="10" t="str">
        <f>HYPERLINK("https://pbs.twimg.com/profile_images/1064357848287715333/GYr5W4W2.jpg","View")</f>
        <v>View</v>
      </c>
    </row>
    <row r="2320" spans="1:21" ht="40.799999999999997">
      <c r="A2320" s="6">
        <v>43438.523738425924</v>
      </c>
      <c r="B2320" s="7" t="str">
        <f>HYPERLINK("https://twitter.com/Francescalafres","@Francescalafres")</f>
        <v>@Francescalafres</v>
      </c>
      <c r="C2320" s="8" t="s">
        <v>7594</v>
      </c>
      <c r="D2320" s="9" t="s">
        <v>7595</v>
      </c>
      <c r="E2320" s="10" t="str">
        <f>HYPERLINK("https://twitter.com/Francescalafres/status/1069917779854311426","1069917779854311426")</f>
        <v>1069917779854311426</v>
      </c>
      <c r="F2320" s="11"/>
      <c r="G2320" s="11"/>
      <c r="H2320" s="11"/>
      <c r="I2320" s="14">
        <v>0</v>
      </c>
      <c r="J2320" s="14">
        <v>0</v>
      </c>
      <c r="K2320" s="15" t="str">
        <f t="shared" si="457"/>
        <v>Twitter for Android</v>
      </c>
      <c r="L2320" s="14">
        <v>30</v>
      </c>
      <c r="M2320" s="14">
        <v>201</v>
      </c>
      <c r="N2320" s="14">
        <v>0</v>
      </c>
      <c r="O2320" s="16"/>
      <c r="P2320" s="6">
        <v>43358.932083333333</v>
      </c>
      <c r="Q2320" s="11"/>
      <c r="R2320" s="17" t="s">
        <v>7596</v>
      </c>
      <c r="S2320" s="11"/>
      <c r="T2320" s="11"/>
      <c r="U2320" s="10" t="str">
        <f>HYPERLINK("https://pbs.twimg.com/profile_images/1041062290496339969/ZFpYAbDm.jpg","View")</f>
        <v>View</v>
      </c>
    </row>
    <row r="2321" spans="1:21" ht="61.2">
      <c r="A2321" s="6">
        <v>43438.520960648151</v>
      </c>
      <c r="B2321" s="7" t="str">
        <f>HYPERLINK("https://twitter.com/Victorlucas1976","@Victorlucas1976")</f>
        <v>@Victorlucas1976</v>
      </c>
      <c r="C2321" s="8" t="s">
        <v>7597</v>
      </c>
      <c r="D2321" s="9" t="s">
        <v>7598</v>
      </c>
      <c r="E2321" s="10" t="str">
        <f>HYPERLINK("https://twitter.com/Victorlucas1976/status/1069916772537638914","1069916772537638914")</f>
        <v>1069916772537638914</v>
      </c>
      <c r="F2321" s="11"/>
      <c r="G2321" s="11"/>
      <c r="H2321" s="11"/>
      <c r="I2321" s="14">
        <v>1</v>
      </c>
      <c r="J2321" s="14">
        <v>1</v>
      </c>
      <c r="K2321" s="15" t="str">
        <f t="shared" si="457"/>
        <v>Twitter for Android</v>
      </c>
      <c r="L2321" s="14">
        <v>471</v>
      </c>
      <c r="M2321" s="14">
        <v>1555</v>
      </c>
      <c r="N2321" s="14">
        <v>0</v>
      </c>
      <c r="O2321" s="16"/>
      <c r="P2321" s="6">
        <v>42988.871666666666</v>
      </c>
      <c r="Q2321" s="12" t="s">
        <v>7600</v>
      </c>
      <c r="R2321" s="18"/>
      <c r="S2321" s="11"/>
      <c r="T2321" s="11"/>
      <c r="U2321" s="10" t="str">
        <f>HYPERLINK("https://pbs.twimg.com/profile_images/960215481302085633/AyH-GXEB.jpg","View")</f>
        <v>View</v>
      </c>
    </row>
    <row r="2322" spans="1:21" ht="91.8">
      <c r="A2322" s="6">
        <v>43438.520162037035</v>
      </c>
      <c r="B2322" s="7" t="str">
        <f>HYPERLINK("https://twitter.com/JCMORCUENDE","@JCMORCUENDE")</f>
        <v>@JCMORCUENDE</v>
      </c>
      <c r="C2322" s="8" t="s">
        <v>7601</v>
      </c>
      <c r="D2322" s="9" t="s">
        <v>7602</v>
      </c>
      <c r="E2322" s="10" t="str">
        <f>HYPERLINK("https://twitter.com/JCMORCUENDE/status/1069916484208615424","1069916484208615424")</f>
        <v>1069916484208615424</v>
      </c>
      <c r="F2322" s="13" t="s">
        <v>6815</v>
      </c>
      <c r="G2322" s="13" t="s">
        <v>6816</v>
      </c>
      <c r="H2322" s="11"/>
      <c r="I2322" s="14">
        <v>0</v>
      </c>
      <c r="J2322" s="14">
        <v>0</v>
      </c>
      <c r="K2322" s="15" t="str">
        <f>HYPERLINK("http://twitter.com/download/iphone","Twitter for iPhone")</f>
        <v>Twitter for iPhone</v>
      </c>
      <c r="L2322" s="14">
        <v>1776</v>
      </c>
      <c r="M2322" s="14">
        <v>2644</v>
      </c>
      <c r="N2322" s="14">
        <v>6</v>
      </c>
      <c r="O2322" s="16"/>
      <c r="P2322" s="6">
        <v>40198.720451388886</v>
      </c>
      <c r="Q2322" s="12" t="s">
        <v>7608</v>
      </c>
      <c r="R2322" s="17" t="s">
        <v>7609</v>
      </c>
      <c r="S2322" s="11"/>
      <c r="T2322" s="11"/>
      <c r="U2322" s="10" t="str">
        <f>HYPERLINK("https://pbs.twimg.com/profile_images/908981738159919104/7xczOIgj.jpg","View")</f>
        <v>View</v>
      </c>
    </row>
    <row r="2323" spans="1:21" ht="40.799999999999997">
      <c r="A2323" s="6">
        <v>43438.517835648148</v>
      </c>
      <c r="B2323" s="7" t="str">
        <f>HYPERLINK("https://twitter.com/SPAINonymous","@SPAINonymous")</f>
        <v>@SPAINonymous</v>
      </c>
      <c r="C2323" s="8" t="s">
        <v>8495</v>
      </c>
      <c r="D2323" s="9" t="s">
        <v>8496</v>
      </c>
      <c r="E2323" s="10" t="str">
        <f>HYPERLINK("https://twitter.com/SPAINonymous/status/1069915641132523520","1069915641132523520")</f>
        <v>1069915641132523520</v>
      </c>
      <c r="F2323" s="11"/>
      <c r="G2323" s="13" t="s">
        <v>8497</v>
      </c>
      <c r="H2323" s="11"/>
      <c r="I2323" s="14">
        <v>35</v>
      </c>
      <c r="J2323" s="14">
        <v>35</v>
      </c>
      <c r="K2323" s="15" t="str">
        <f>HYPERLINK("http://twitter.com/download/android","Twitter for Android")</f>
        <v>Twitter for Android</v>
      </c>
      <c r="L2323" s="14">
        <v>5161</v>
      </c>
      <c r="M2323" s="14">
        <v>3628</v>
      </c>
      <c r="N2323" s="14">
        <v>94</v>
      </c>
      <c r="O2323" s="16"/>
      <c r="P2323" s="6">
        <v>40592.085833333331</v>
      </c>
      <c r="Q2323" s="12" t="s">
        <v>5320</v>
      </c>
      <c r="R2323" s="17" t="s">
        <v>8498</v>
      </c>
      <c r="S2323" s="13" t="s">
        <v>8499</v>
      </c>
      <c r="T2323" s="11"/>
      <c r="U2323" s="10" t="str">
        <f>HYPERLINK("https://pbs.twimg.com/profile_images/1621563048/V_vendetta_V_peque.jpg","View")</f>
        <v>View</v>
      </c>
    </row>
    <row r="2324" spans="1:21" ht="51">
      <c r="A2324" s="6">
        <v>43438.516435185185</v>
      </c>
      <c r="B2324" s="7" t="str">
        <f>HYPERLINK("https://twitter.com/Pablo_Salias","@Pablo_Salias")</f>
        <v>@Pablo_Salias</v>
      </c>
      <c r="C2324" s="8" t="s">
        <v>7027</v>
      </c>
      <c r="D2324" s="9" t="s">
        <v>7610</v>
      </c>
      <c r="E2324" s="10" t="str">
        <f>HYPERLINK("https://twitter.com/Pablo_Salias/status/1069915134187974656","1069915134187974656")</f>
        <v>1069915134187974656</v>
      </c>
      <c r="F2324" s="11"/>
      <c r="G2324" s="13" t="s">
        <v>7611</v>
      </c>
      <c r="H2324" s="11"/>
      <c r="I2324" s="14">
        <v>0</v>
      </c>
      <c r="J2324" s="14">
        <v>0</v>
      </c>
      <c r="K2324" s="15" t="str">
        <f>HYPERLINK("http://twitter.com","Twitter Web Client")</f>
        <v>Twitter Web Client</v>
      </c>
      <c r="L2324" s="14">
        <v>1150</v>
      </c>
      <c r="M2324" s="14">
        <v>1122</v>
      </c>
      <c r="N2324" s="14">
        <v>13</v>
      </c>
      <c r="O2324" s="16"/>
      <c r="P2324" s="6">
        <v>40348.001689814817</v>
      </c>
      <c r="Q2324" s="12" t="s">
        <v>137</v>
      </c>
      <c r="R2324" s="17" t="s">
        <v>7032</v>
      </c>
      <c r="S2324" s="11"/>
      <c r="T2324" s="11"/>
      <c r="U2324" s="10" t="str">
        <f>HYPERLINK("https://pbs.twimg.com/profile_images/1008514819236872193/b63feMMO.jpg","View")</f>
        <v>View</v>
      </c>
    </row>
    <row r="2325" spans="1:21" ht="40.799999999999997">
      <c r="A2325" s="6">
        <v>43438.515162037038</v>
      </c>
      <c r="B2325" s="7" t="str">
        <f>HYPERLINK("https://twitter.com/dickie825","@dickie825")</f>
        <v>@dickie825</v>
      </c>
      <c r="C2325" s="8" t="s">
        <v>8500</v>
      </c>
      <c r="D2325" s="9" t="s">
        <v>8501</v>
      </c>
      <c r="E2325" s="10" t="str">
        <f>HYPERLINK("https://twitter.com/dickie825/status/1069914672617316352","1069914672617316352")</f>
        <v>1069914672617316352</v>
      </c>
      <c r="F2325" s="13" t="s">
        <v>8502</v>
      </c>
      <c r="G2325" s="13" t="s">
        <v>8503</v>
      </c>
      <c r="H2325" s="11"/>
      <c r="I2325" s="14">
        <v>0</v>
      </c>
      <c r="J2325" s="14">
        <v>0</v>
      </c>
      <c r="K2325" s="15" t="str">
        <f>HYPERLINK("https://dlvrit.com/","dlvr.it")</f>
        <v>dlvr.it</v>
      </c>
      <c r="L2325" s="14">
        <v>3495</v>
      </c>
      <c r="M2325" s="14">
        <v>2408</v>
      </c>
      <c r="N2325" s="14">
        <v>23</v>
      </c>
      <c r="O2325" s="16"/>
      <c r="P2325" s="6">
        <v>41702.926354166666</v>
      </c>
      <c r="Q2325" s="12" t="s">
        <v>8504</v>
      </c>
      <c r="R2325" s="17" t="s">
        <v>8505</v>
      </c>
      <c r="S2325" s="13" t="s">
        <v>8506</v>
      </c>
      <c r="T2325" s="11"/>
      <c r="U2325" s="10" t="str">
        <f>HYPERLINK("https://pbs.twimg.com/profile_images/462982799574581250/pOhVVnh8.png","View")</f>
        <v>View</v>
      </c>
    </row>
    <row r="2326" spans="1:21" ht="40.799999999999997">
      <c r="A2326" s="6">
        <v>43438.514398148152</v>
      </c>
      <c r="B2326" s="7" t="str">
        <f>HYPERLINK("https://twitter.com/amedinaguti","@amedinaguti")</f>
        <v>@amedinaguti</v>
      </c>
      <c r="C2326" s="8" t="s">
        <v>8507</v>
      </c>
      <c r="D2326" s="9" t="s">
        <v>8508</v>
      </c>
      <c r="E2326" s="10" t="str">
        <f>HYPERLINK("https://twitter.com/amedinaguti/status/1069914396195995648","1069914396195995648")</f>
        <v>1069914396195995648</v>
      </c>
      <c r="F2326" s="11"/>
      <c r="G2326" s="11"/>
      <c r="H2326" s="11"/>
      <c r="I2326" s="14">
        <v>0</v>
      </c>
      <c r="J2326" s="14">
        <v>0</v>
      </c>
      <c r="K2326" s="15" t="str">
        <f>HYPERLINK("http://twitter.com/#!/download/ipad","Twitter for iPad")</f>
        <v>Twitter for iPad</v>
      </c>
      <c r="L2326" s="14">
        <v>441</v>
      </c>
      <c r="M2326" s="14">
        <v>963</v>
      </c>
      <c r="N2326" s="14">
        <v>2</v>
      </c>
      <c r="O2326" s="16"/>
      <c r="P2326" s="6">
        <v>41805.797430555554</v>
      </c>
      <c r="Q2326" s="12" t="s">
        <v>8509</v>
      </c>
      <c r="R2326" s="17" t="s">
        <v>8510</v>
      </c>
      <c r="S2326" s="11"/>
      <c r="T2326" s="11"/>
      <c r="U2326" s="10" t="str">
        <f>HYPERLINK("https://pbs.twimg.com/profile_images/478222854048468994/6TmMiTQ4.jpeg","View")</f>
        <v>View</v>
      </c>
    </row>
    <row r="2327" spans="1:21" ht="30.6">
      <c r="A2327" s="6">
        <v>43438.513078703705</v>
      </c>
      <c r="B2327" s="7" t="str">
        <f>HYPERLINK("https://twitter.com/GonzaloGurrea","@GonzaloGurrea")</f>
        <v>@GonzaloGurrea</v>
      </c>
      <c r="C2327" s="8" t="s">
        <v>8511</v>
      </c>
      <c r="D2327" s="9" t="s">
        <v>8512</v>
      </c>
      <c r="E2327" s="10" t="str">
        <f>HYPERLINK("https://twitter.com/GonzaloGurrea/status/1069913917269438464","1069913917269438464")</f>
        <v>1069913917269438464</v>
      </c>
      <c r="F2327" s="11"/>
      <c r="G2327" s="13" t="s">
        <v>8513</v>
      </c>
      <c r="H2327" s="11"/>
      <c r="I2327" s="14">
        <v>0</v>
      </c>
      <c r="J2327" s="14">
        <v>0</v>
      </c>
      <c r="K2327" s="15" t="str">
        <f>HYPERLINK("http://twitter.com","Twitter Web Client")</f>
        <v>Twitter Web Client</v>
      </c>
      <c r="L2327" s="14">
        <v>344</v>
      </c>
      <c r="M2327" s="14">
        <v>645</v>
      </c>
      <c r="N2327" s="14">
        <v>3</v>
      </c>
      <c r="O2327" s="16"/>
      <c r="P2327" s="6">
        <v>41560.531111111108</v>
      </c>
      <c r="Q2327" s="11"/>
      <c r="R2327" s="17" t="s">
        <v>8514</v>
      </c>
      <c r="S2327" s="13" t="s">
        <v>8515</v>
      </c>
      <c r="T2327" s="11"/>
      <c r="U2327" s="10" t="str">
        <f>HYPERLINK("https://pbs.twimg.com/profile_images/868132502925398016/uY7V-fgL.jpg","View")</f>
        <v>View</v>
      </c>
    </row>
    <row r="2328" spans="1:21" ht="71.400000000000006">
      <c r="A2328" s="6">
        <v>43438.512962962966</v>
      </c>
      <c r="B2328" s="7" t="str">
        <f>HYPERLINK("https://twitter.com/osvalbuena","@osvalbuena")</f>
        <v>@osvalbuena</v>
      </c>
      <c r="C2328" s="8" t="s">
        <v>3122</v>
      </c>
      <c r="D2328" s="9" t="s">
        <v>7616</v>
      </c>
      <c r="E2328" s="10" t="str">
        <f>HYPERLINK("https://twitter.com/osvalbuena/status/1069913874827239424","1069913874827239424")</f>
        <v>1069913874827239424</v>
      </c>
      <c r="F2328" s="13" t="s">
        <v>6219</v>
      </c>
      <c r="G2328" s="11"/>
      <c r="H2328" s="11"/>
      <c r="I2328" s="14">
        <v>2</v>
      </c>
      <c r="J2328" s="14">
        <v>0</v>
      </c>
      <c r="K2328" s="15" t="str">
        <f t="shared" ref="K2328:K2330" si="458">HYPERLINK("http://twitter.com/download/android","Twitter for Android")</f>
        <v>Twitter for Android</v>
      </c>
      <c r="L2328" s="14">
        <v>1888</v>
      </c>
      <c r="M2328" s="14">
        <v>1718</v>
      </c>
      <c r="N2328" s="14">
        <v>29</v>
      </c>
      <c r="O2328" s="16"/>
      <c r="P2328" s="6">
        <v>40734.987326388888</v>
      </c>
      <c r="Q2328" s="12" t="s">
        <v>3124</v>
      </c>
      <c r="R2328" s="17" t="s">
        <v>3126</v>
      </c>
      <c r="S2328" s="13" t="s">
        <v>3128</v>
      </c>
      <c r="T2328" s="11"/>
      <c r="U2328" s="10" t="str">
        <f>HYPERLINK("https://pbs.twimg.com/profile_images/1054842378882895877/wxD4TBZr.jpg","View")</f>
        <v>View</v>
      </c>
    </row>
    <row r="2329" spans="1:21" ht="40.799999999999997">
      <c r="A2329" s="6">
        <v>43438.509259259255</v>
      </c>
      <c r="B2329" s="7" t="str">
        <f>HYPERLINK("https://twitter.com/kodiario_","@kodiario_")</f>
        <v>@kodiario_</v>
      </c>
      <c r="C2329" s="8" t="s">
        <v>6751</v>
      </c>
      <c r="D2329" s="9" t="s">
        <v>8516</v>
      </c>
      <c r="E2329" s="10" t="str">
        <f>HYPERLINK("https://twitter.com/kodiario_/status/1069912531622395904","1069912531622395904")</f>
        <v>1069912531622395904</v>
      </c>
      <c r="F2329" s="13" t="s">
        <v>8469</v>
      </c>
      <c r="G2329" s="11"/>
      <c r="H2329" s="11"/>
      <c r="I2329" s="14">
        <v>7</v>
      </c>
      <c r="J2329" s="14">
        <v>4</v>
      </c>
      <c r="K2329" s="15" t="str">
        <f t="shared" si="458"/>
        <v>Twitter for Android</v>
      </c>
      <c r="L2329" s="14">
        <v>4619</v>
      </c>
      <c r="M2329" s="14">
        <v>332</v>
      </c>
      <c r="N2329" s="14">
        <v>58</v>
      </c>
      <c r="O2329" s="16"/>
      <c r="P2329" s="6">
        <v>42564.053425925929</v>
      </c>
      <c r="Q2329" s="11"/>
      <c r="R2329" s="17" t="s">
        <v>6753</v>
      </c>
      <c r="S2329" s="11"/>
      <c r="T2329" s="11"/>
      <c r="U2329" s="10" t="str">
        <f>HYPERLINK("https://pbs.twimg.com/profile_images/977352060571148288/z2lxbv4P.jpg","View")</f>
        <v>View</v>
      </c>
    </row>
    <row r="2330" spans="1:21" ht="20.399999999999999">
      <c r="A2330" s="6">
        <v>43438.504282407404</v>
      </c>
      <c r="B2330" s="7" t="str">
        <f>HYPERLINK("https://twitter.com/kaarlos67","@kaarlos67")</f>
        <v>@kaarlos67</v>
      </c>
      <c r="C2330" s="8" t="s">
        <v>8517</v>
      </c>
      <c r="D2330" s="9" t="s">
        <v>8518</v>
      </c>
      <c r="E2330" s="10" t="str">
        <f>HYPERLINK("https://twitter.com/kaarlos67/status/1069910730269433856","1069910730269433856")</f>
        <v>1069910730269433856</v>
      </c>
      <c r="F2330" s="11"/>
      <c r="G2330" s="11"/>
      <c r="H2330" s="11"/>
      <c r="I2330" s="14">
        <v>0</v>
      </c>
      <c r="J2330" s="14">
        <v>0</v>
      </c>
      <c r="K2330" s="15" t="str">
        <f t="shared" si="458"/>
        <v>Twitter for Android</v>
      </c>
      <c r="L2330" s="14">
        <v>1</v>
      </c>
      <c r="M2330" s="14">
        <v>22</v>
      </c>
      <c r="N2330" s="14">
        <v>0</v>
      </c>
      <c r="O2330" s="16"/>
      <c r="P2330" s="6">
        <v>43430.660034722227</v>
      </c>
      <c r="Q2330" s="11"/>
      <c r="R2330" s="18"/>
      <c r="S2330" s="11"/>
      <c r="T2330" s="11"/>
      <c r="U2330" s="10" t="str">
        <f>HYPERLINK("https://pbs.twimg.com/profile_images/1067906475081768966/yjPbXToD.jpg","View")</f>
        <v>View</v>
      </c>
    </row>
    <row r="2331" spans="1:21" ht="30.6">
      <c r="A2331" s="6">
        <v>43438.502615740741</v>
      </c>
      <c r="B2331" s="7" t="str">
        <f>HYPERLINK("https://twitter.com/edp","@edp")</f>
        <v>@edp</v>
      </c>
      <c r="C2331" s="8" t="s">
        <v>7617</v>
      </c>
      <c r="D2331" s="9" t="s">
        <v>7619</v>
      </c>
      <c r="E2331" s="10" t="str">
        <f>HYPERLINK("https://twitter.com/edp/status/1069910123248869376","1069910123248869376")</f>
        <v>1069910123248869376</v>
      </c>
      <c r="F2331" s="11"/>
      <c r="G2331" s="11"/>
      <c r="H2331" s="11"/>
      <c r="I2331" s="14">
        <v>4</v>
      </c>
      <c r="J2331" s="14">
        <v>9</v>
      </c>
      <c r="K2331" s="15" t="str">
        <f t="shared" ref="K2331:K2332" si="459">HYPERLINK("http://twitter.com","Twitter Web Client")</f>
        <v>Twitter Web Client</v>
      </c>
      <c r="L2331" s="14">
        <v>5707</v>
      </c>
      <c r="M2331" s="14">
        <v>4234</v>
      </c>
      <c r="N2331" s="14">
        <v>29</v>
      </c>
      <c r="O2331" s="16"/>
      <c r="P2331" s="6">
        <v>39289.674039351856</v>
      </c>
      <c r="Q2331" s="12" t="s">
        <v>7620</v>
      </c>
      <c r="R2331" s="17" t="s">
        <v>7621</v>
      </c>
      <c r="S2331" s="13" t="s">
        <v>7622</v>
      </c>
      <c r="T2331" s="11"/>
      <c r="U2331" s="10" t="str">
        <f>HYPERLINK("https://pbs.twimg.com/profile_images/922061033530896385/ykySPqpK.jpg","View")</f>
        <v>View</v>
      </c>
    </row>
    <row r="2332" spans="1:21" ht="122.4">
      <c r="A2332" s="6">
        <v>43438.500706018516</v>
      </c>
      <c r="B2332" s="7" t="str">
        <f>HYPERLINK("https://twitter.com/carmelodifazio","@carmelodifazio")</f>
        <v>@carmelodifazio</v>
      </c>
      <c r="C2332" s="8" t="s">
        <v>7013</v>
      </c>
      <c r="D2332" s="9" t="s">
        <v>7624</v>
      </c>
      <c r="E2332" s="10" t="str">
        <f>HYPERLINK("https://twitter.com/carmelodifazio/status/1069909434611236864","1069909434611236864")</f>
        <v>1069909434611236864</v>
      </c>
      <c r="F2332" s="13" t="s">
        <v>7626</v>
      </c>
      <c r="G2332" s="11"/>
      <c r="H2332" s="11"/>
      <c r="I2332" s="14">
        <v>3</v>
      </c>
      <c r="J2332" s="14">
        <v>5</v>
      </c>
      <c r="K2332" s="15" t="str">
        <f t="shared" si="459"/>
        <v>Twitter Web Client</v>
      </c>
      <c r="L2332" s="14">
        <v>67620</v>
      </c>
      <c r="M2332" s="14">
        <v>29898</v>
      </c>
      <c r="N2332" s="14">
        <v>249</v>
      </c>
      <c r="O2332" s="16"/>
      <c r="P2332" s="6">
        <v>40525.98883101852</v>
      </c>
      <c r="Q2332" s="12" t="s">
        <v>7017</v>
      </c>
      <c r="R2332" s="17" t="s">
        <v>7018</v>
      </c>
      <c r="S2332" s="13" t="s">
        <v>7019</v>
      </c>
      <c r="T2332" s="11"/>
      <c r="U2332" s="10" t="str">
        <f>HYPERLINK("https://pbs.twimg.com/profile_images/1069385468406652930/Fe_Drk4k.jpg","View")</f>
        <v>View</v>
      </c>
    </row>
    <row r="2333" spans="1:21" ht="40.799999999999997">
      <c r="A2333" s="6">
        <v>43438.500625000001</v>
      </c>
      <c r="B2333" s="7" t="str">
        <f>HYPERLINK("https://twitter.com/JMiguelBella","@JMiguelBella")</f>
        <v>@JMiguelBella</v>
      </c>
      <c r="C2333" s="8" t="s">
        <v>7627</v>
      </c>
      <c r="D2333" s="9" t="s">
        <v>7628</v>
      </c>
      <c r="E2333" s="10" t="str">
        <f>HYPERLINK("https://twitter.com/JMiguelBella/status/1069909403510419456","1069909403510419456")</f>
        <v>1069909403510419456</v>
      </c>
      <c r="F2333" s="12" t="s">
        <v>7629</v>
      </c>
      <c r="G2333" s="13" t="s">
        <v>7630</v>
      </c>
      <c r="H2333" s="11"/>
      <c r="I2333" s="14">
        <v>0</v>
      </c>
      <c r="J2333" s="14">
        <v>0</v>
      </c>
      <c r="K2333" s="15" t="str">
        <f>HYPERLINK("http://twitter.com/download/iphone","Twitter for iPhone")</f>
        <v>Twitter for iPhone</v>
      </c>
      <c r="L2333" s="14">
        <v>2382</v>
      </c>
      <c r="M2333" s="14">
        <v>4187</v>
      </c>
      <c r="N2333" s="14">
        <v>28</v>
      </c>
      <c r="O2333" s="16"/>
      <c r="P2333" s="6">
        <v>40576.512743055559</v>
      </c>
      <c r="Q2333" s="12" t="s">
        <v>137</v>
      </c>
      <c r="R2333" s="17" t="s">
        <v>7631</v>
      </c>
      <c r="S2333" s="11"/>
      <c r="T2333" s="11"/>
      <c r="U2333" s="10" t="str">
        <f>HYPERLINK("https://pbs.twimg.com/profile_images/1069175621845159937/yrdRMlxG.jpg","View")</f>
        <v>View</v>
      </c>
    </row>
    <row r="2334" spans="1:21" ht="51">
      <c r="A2334" s="6">
        <v>43438.500590277778</v>
      </c>
      <c r="B2334" s="7" t="str">
        <f>HYPERLINK("https://twitter.com/iangulochacon","@iangulochacon")</f>
        <v>@iangulochacon</v>
      </c>
      <c r="C2334" s="8" t="s">
        <v>4600</v>
      </c>
      <c r="D2334" s="9" t="s">
        <v>4601</v>
      </c>
      <c r="E2334" s="10" t="str">
        <f>HYPERLINK("https://twitter.com/iangulochacon/status/1069909390516457475","1069909390516457475")</f>
        <v>1069909390516457475</v>
      </c>
      <c r="F2334" s="11"/>
      <c r="G2334" s="13" t="s">
        <v>4602</v>
      </c>
      <c r="H2334" s="11"/>
      <c r="I2334" s="14">
        <v>5</v>
      </c>
      <c r="J2334" s="14">
        <v>2</v>
      </c>
      <c r="K2334" s="15" t="str">
        <f>HYPERLINK("http://twitter.com/download/android","Twitter for Android")</f>
        <v>Twitter for Android</v>
      </c>
      <c r="L2334" s="14">
        <v>15859</v>
      </c>
      <c r="M2334" s="14">
        <v>16544</v>
      </c>
      <c r="N2334" s="14">
        <v>47</v>
      </c>
      <c r="O2334" s="16"/>
      <c r="P2334" s="6">
        <v>40213.701550925922</v>
      </c>
      <c r="Q2334" s="11"/>
      <c r="R2334" s="17" t="s">
        <v>4603</v>
      </c>
      <c r="S2334" s="11"/>
      <c r="T2334" s="11"/>
      <c r="U2334" s="10" t="str">
        <f>HYPERLINK("https://pbs.twimg.com/profile_images/378800000414505215/c08cd7eacd21b304319f72f6dca86b7d.jpeg","View")</f>
        <v>View</v>
      </c>
    </row>
    <row r="2335" spans="1:21" ht="51">
      <c r="A2335" s="6">
        <v>43438.500578703708</v>
      </c>
      <c r="B2335" s="7" t="str">
        <f>HYPERLINK("https://twitter.com/64210584110","@64210584110")</f>
        <v>@64210584110</v>
      </c>
      <c r="C2335" s="8" t="s">
        <v>5909</v>
      </c>
      <c r="D2335" s="9" t="s">
        <v>7633</v>
      </c>
      <c r="E2335" s="10" t="str">
        <f>HYPERLINK("https://twitter.com/64210584110/status/1069909388436103169","1069909388436103169")</f>
        <v>1069909388436103169</v>
      </c>
      <c r="F2335" s="12" t="s">
        <v>7634</v>
      </c>
      <c r="G2335" s="11"/>
      <c r="H2335" s="11"/>
      <c r="I2335" s="14">
        <v>0</v>
      </c>
      <c r="J2335" s="14">
        <v>0</v>
      </c>
      <c r="K2335" s="15" t="str">
        <f>HYPERLINK("http://twitter.com","Twitter Web Client")</f>
        <v>Twitter Web Client</v>
      </c>
      <c r="L2335" s="14">
        <v>1024</v>
      </c>
      <c r="M2335" s="14">
        <v>1438</v>
      </c>
      <c r="N2335" s="14">
        <v>20</v>
      </c>
      <c r="O2335" s="16"/>
      <c r="P2335" s="6">
        <v>40805.78769675926</v>
      </c>
      <c r="Q2335" s="11"/>
      <c r="R2335" s="17" t="s">
        <v>5916</v>
      </c>
      <c r="S2335" s="11"/>
      <c r="T2335" s="11"/>
      <c r="U2335" s="10" t="str">
        <f>HYPERLINK("https://pbs.twimg.com/profile_images/2464788510/parb62ihweftm0hm3sgh.jpeg","View")</f>
        <v>View</v>
      </c>
    </row>
    <row r="2336" spans="1:21" ht="51">
      <c r="A2336" s="6">
        <v>43438.50001157407</v>
      </c>
      <c r="B2336" s="7" t="str">
        <f>HYPERLINK("https://twitter.com/iangulochacon","@iangulochacon")</f>
        <v>@iangulochacon</v>
      </c>
      <c r="C2336" s="8" t="s">
        <v>4600</v>
      </c>
      <c r="D2336" s="9" t="s">
        <v>4601</v>
      </c>
      <c r="E2336" s="10" t="str">
        <f>HYPERLINK("https://twitter.com/iangulochacon/status/1069909183540146176","1069909183540146176")</f>
        <v>1069909183540146176</v>
      </c>
      <c r="F2336" s="11"/>
      <c r="G2336" s="13" t="s">
        <v>4602</v>
      </c>
      <c r="H2336" s="11"/>
      <c r="I2336" s="14">
        <v>2</v>
      </c>
      <c r="J2336" s="14">
        <v>2</v>
      </c>
      <c r="K2336" s="15" t="str">
        <f t="shared" ref="K2336:K2337" si="460">HYPERLINK("http://twitter.com/download/android","Twitter for Android")</f>
        <v>Twitter for Android</v>
      </c>
      <c r="L2336" s="14">
        <v>15859</v>
      </c>
      <c r="M2336" s="14">
        <v>16544</v>
      </c>
      <c r="N2336" s="14">
        <v>47</v>
      </c>
      <c r="O2336" s="16"/>
      <c r="P2336" s="6">
        <v>40213.701550925922</v>
      </c>
      <c r="Q2336" s="11"/>
      <c r="R2336" s="17" t="s">
        <v>4603</v>
      </c>
      <c r="S2336" s="11"/>
      <c r="T2336" s="11"/>
      <c r="U2336" s="10" t="str">
        <f>HYPERLINK("https://pbs.twimg.com/profile_images/378800000414505215/c08cd7eacd21b304319f72f6dca86b7d.jpeg","View")</f>
        <v>View</v>
      </c>
    </row>
    <row r="2337" spans="1:21" ht="30.6">
      <c r="A2337" s="6">
        <v>43438.498773148152</v>
      </c>
      <c r="B2337" s="7" t="str">
        <f>HYPERLINK("https://twitter.com/PeGeCe72","@PeGeCe72")</f>
        <v>@PeGeCe72</v>
      </c>
      <c r="C2337" s="8" t="s">
        <v>7635</v>
      </c>
      <c r="D2337" s="9" t="s">
        <v>7636</v>
      </c>
      <c r="E2337" s="10" t="str">
        <f>HYPERLINK("https://twitter.com/PeGeCe72/status/1069908731209621504","1069908731209621504")</f>
        <v>1069908731209621504</v>
      </c>
      <c r="F2337" s="11"/>
      <c r="G2337" s="11"/>
      <c r="H2337" s="11"/>
      <c r="I2337" s="14">
        <v>2</v>
      </c>
      <c r="J2337" s="14">
        <v>4</v>
      </c>
      <c r="K2337" s="15" t="str">
        <f t="shared" si="460"/>
        <v>Twitter for Android</v>
      </c>
      <c r="L2337" s="14">
        <v>161</v>
      </c>
      <c r="M2337" s="14">
        <v>193</v>
      </c>
      <c r="N2337" s="14">
        <v>0</v>
      </c>
      <c r="O2337" s="16"/>
      <c r="P2337" s="6">
        <v>43367.735046296293</v>
      </c>
      <c r="Q2337" s="11"/>
      <c r="R2337" s="17" t="s">
        <v>7637</v>
      </c>
      <c r="S2337" s="11"/>
      <c r="T2337" s="11"/>
      <c r="U2337" s="10" t="str">
        <f>HYPERLINK("https://pbs.twimg.com/profile_images/1070650020565786629/9I6l_W3V.jpg","View")</f>
        <v>View</v>
      </c>
    </row>
    <row r="2338" spans="1:21" ht="51">
      <c r="A2338" s="6">
        <v>43438.49864583333</v>
      </c>
      <c r="B2338" s="7" t="str">
        <f>HYPERLINK("https://twitter.com/2000Titom","@2000Titom")</f>
        <v>@2000Titom</v>
      </c>
      <c r="C2338" s="8" t="s">
        <v>7638</v>
      </c>
      <c r="D2338" s="9" t="s">
        <v>7639</v>
      </c>
      <c r="E2338" s="10" t="str">
        <f>HYPERLINK("https://twitter.com/2000Titom/status/1069908684669624321","1069908684669624321")</f>
        <v>1069908684669624321</v>
      </c>
      <c r="F2338" s="11"/>
      <c r="G2338" s="11"/>
      <c r="H2338" s="11"/>
      <c r="I2338" s="14">
        <v>0</v>
      </c>
      <c r="J2338" s="14">
        <v>0</v>
      </c>
      <c r="K2338" s="15" t="str">
        <f>HYPERLINK("http://twitter.com","Twitter Web Client")</f>
        <v>Twitter Web Client</v>
      </c>
      <c r="L2338" s="14">
        <v>2</v>
      </c>
      <c r="M2338" s="14">
        <v>26</v>
      </c>
      <c r="N2338" s="14">
        <v>0</v>
      </c>
      <c r="O2338" s="16"/>
      <c r="P2338" s="6">
        <v>42109.747592592597</v>
      </c>
      <c r="Q2338" s="11"/>
      <c r="R2338" s="18"/>
      <c r="S2338" s="11"/>
      <c r="T2338" s="11"/>
      <c r="U2338" s="19" t="s">
        <v>629</v>
      </c>
    </row>
    <row r="2339" spans="1:21" ht="30.6">
      <c r="A2339" s="6">
        <v>43438.495844907404</v>
      </c>
      <c r="B2339" s="7" t="str">
        <f>HYPERLINK("https://twitter.com/Isabel_VP_","@Isabel_VP_")</f>
        <v>@Isabel_VP_</v>
      </c>
      <c r="C2339" s="8" t="s">
        <v>5796</v>
      </c>
      <c r="D2339" s="9" t="s">
        <v>7640</v>
      </c>
      <c r="E2339" s="10" t="str">
        <f>HYPERLINK("https://twitter.com/Isabel_VP_/status/1069907672718303232","1069907672718303232")</f>
        <v>1069907672718303232</v>
      </c>
      <c r="F2339" s="11"/>
      <c r="G2339" s="11"/>
      <c r="H2339" s="11"/>
      <c r="I2339" s="14">
        <v>0</v>
      </c>
      <c r="J2339" s="14">
        <v>1</v>
      </c>
      <c r="K2339" s="15" t="str">
        <f t="shared" ref="K2339:K2342" si="461">HYPERLINK("http://twitter.com/download/android","Twitter for Android")</f>
        <v>Twitter for Android</v>
      </c>
      <c r="L2339" s="14">
        <v>179</v>
      </c>
      <c r="M2339" s="14">
        <v>321</v>
      </c>
      <c r="N2339" s="14">
        <v>9</v>
      </c>
      <c r="O2339" s="16"/>
      <c r="P2339" s="6">
        <v>40993.805995370371</v>
      </c>
      <c r="Q2339" s="11"/>
      <c r="R2339" s="17" t="s">
        <v>7643</v>
      </c>
      <c r="S2339" s="11"/>
      <c r="T2339" s="11"/>
      <c r="U2339" s="10" t="str">
        <f>HYPERLINK("https://pbs.twimg.com/profile_images/1026342351315378176/bVJYZMgE.jpg","View")</f>
        <v>View</v>
      </c>
    </row>
    <row r="2340" spans="1:21" ht="51">
      <c r="A2340" s="6">
        <v>43438.490532407406</v>
      </c>
      <c r="B2340" s="7" t="str">
        <f>HYPERLINK("https://twitter.com/copipega1","@copipega1")</f>
        <v>@copipega1</v>
      </c>
      <c r="C2340" s="8" t="s">
        <v>7644</v>
      </c>
      <c r="D2340" s="9" t="s">
        <v>7645</v>
      </c>
      <c r="E2340" s="10" t="str">
        <f>HYPERLINK("https://twitter.com/copipega1/status/1069905747486625792","1069905747486625792")</f>
        <v>1069905747486625792</v>
      </c>
      <c r="F2340" s="11"/>
      <c r="G2340" s="13" t="s">
        <v>7646</v>
      </c>
      <c r="H2340" s="11"/>
      <c r="I2340" s="14">
        <v>0</v>
      </c>
      <c r="J2340" s="14">
        <v>0</v>
      </c>
      <c r="K2340" s="15" t="str">
        <f t="shared" si="461"/>
        <v>Twitter for Android</v>
      </c>
      <c r="L2340" s="14">
        <v>201</v>
      </c>
      <c r="M2340" s="14">
        <v>879</v>
      </c>
      <c r="N2340" s="14">
        <v>0</v>
      </c>
      <c r="O2340" s="16"/>
      <c r="P2340" s="6">
        <v>43134.881342592591</v>
      </c>
      <c r="Q2340" s="12" t="s">
        <v>7647</v>
      </c>
      <c r="R2340" s="18"/>
      <c r="S2340" s="11"/>
      <c r="T2340" s="11"/>
      <c r="U2340" s="10" t="str">
        <f>HYPERLINK("https://pbs.twimg.com/profile_images/959883609275621377/p_su4SUy.jpg","View")</f>
        <v>View</v>
      </c>
    </row>
    <row r="2341" spans="1:21" ht="30.6">
      <c r="A2341" s="6">
        <v>43438.490150462967</v>
      </c>
      <c r="B2341" s="7" t="str">
        <f>HYPERLINK("https://twitter.com/davo537","@davo537")</f>
        <v>@davo537</v>
      </c>
      <c r="C2341" s="8" t="s">
        <v>1245</v>
      </c>
      <c r="D2341" s="9" t="s">
        <v>8519</v>
      </c>
      <c r="E2341" s="10" t="str">
        <f>HYPERLINK("https://twitter.com/davo537/status/1069905609615699968","1069905609615699968")</f>
        <v>1069905609615699968</v>
      </c>
      <c r="F2341" s="11"/>
      <c r="G2341" s="11"/>
      <c r="H2341" s="11"/>
      <c r="I2341" s="14">
        <v>3</v>
      </c>
      <c r="J2341" s="14">
        <v>7</v>
      </c>
      <c r="K2341" s="15" t="str">
        <f t="shared" si="461"/>
        <v>Twitter for Android</v>
      </c>
      <c r="L2341" s="14">
        <v>11294</v>
      </c>
      <c r="M2341" s="14">
        <v>672</v>
      </c>
      <c r="N2341" s="14">
        <v>119</v>
      </c>
      <c r="O2341" s="16"/>
      <c r="P2341" s="6">
        <v>40748.349120370374</v>
      </c>
      <c r="Q2341" s="12" t="s">
        <v>1248</v>
      </c>
      <c r="R2341" s="17" t="s">
        <v>1249</v>
      </c>
      <c r="S2341" s="11"/>
      <c r="T2341" s="11"/>
      <c r="U2341" s="10" t="str">
        <f>HYPERLINK("https://pbs.twimg.com/profile_images/770550123378122752/uj7Tp4bC.jpg","View")</f>
        <v>View</v>
      </c>
    </row>
    <row r="2342" spans="1:21" ht="51">
      <c r="A2342" s="6">
        <v>43438.489085648151</v>
      </c>
      <c r="B2342" s="7" t="str">
        <f>HYPERLINK("https://twitter.com/makinawer007","@makinawer007")</f>
        <v>@makinawer007</v>
      </c>
      <c r="C2342" s="8" t="s">
        <v>7648</v>
      </c>
      <c r="D2342" s="9" t="s">
        <v>7649</v>
      </c>
      <c r="E2342" s="10" t="str">
        <f>HYPERLINK("https://twitter.com/makinawer007/status/1069905223295078401","1069905223295078401")</f>
        <v>1069905223295078401</v>
      </c>
      <c r="F2342" s="11"/>
      <c r="G2342" s="11"/>
      <c r="H2342" s="11"/>
      <c r="I2342" s="14">
        <v>1</v>
      </c>
      <c r="J2342" s="14">
        <v>0</v>
      </c>
      <c r="K2342" s="15" t="str">
        <f t="shared" si="461"/>
        <v>Twitter for Android</v>
      </c>
      <c r="L2342" s="14">
        <v>28</v>
      </c>
      <c r="M2342" s="14">
        <v>15</v>
      </c>
      <c r="N2342" s="14">
        <v>0</v>
      </c>
      <c r="O2342" s="16"/>
      <c r="P2342" s="6">
        <v>42646.025868055556</v>
      </c>
      <c r="Q2342" s="12" t="s">
        <v>6983</v>
      </c>
      <c r="R2342" s="18"/>
      <c r="S2342" s="11"/>
      <c r="T2342" s="11"/>
      <c r="U2342" s="10" t="str">
        <f>HYPERLINK("https://pbs.twimg.com/profile_images/782717753111314440/uokibktB.jpg","View")</f>
        <v>View</v>
      </c>
    </row>
    <row r="2343" spans="1:21" ht="40.799999999999997">
      <c r="A2343" s="6">
        <v>43438.48883101852</v>
      </c>
      <c r="B2343" s="7" t="str">
        <f>HYPERLINK("https://twitter.com/jzuazola","@jzuazola")</f>
        <v>@jzuazola</v>
      </c>
      <c r="C2343" s="8" t="s">
        <v>8423</v>
      </c>
      <c r="D2343" s="9" t="s">
        <v>8520</v>
      </c>
      <c r="E2343" s="10" t="str">
        <f>HYPERLINK("https://twitter.com/jzuazola/status/1069905131599097856","1069905131599097856")</f>
        <v>1069905131599097856</v>
      </c>
      <c r="F2343" s="13" t="s">
        <v>8405</v>
      </c>
      <c r="G2343" s="11"/>
      <c r="H2343" s="11"/>
      <c r="I2343" s="14">
        <v>2</v>
      </c>
      <c r="J2343" s="14">
        <v>3</v>
      </c>
      <c r="K2343" s="15" t="str">
        <f>HYPERLINK("http://www.facebook.com/twitter","Facebook")</f>
        <v>Facebook</v>
      </c>
      <c r="L2343" s="14">
        <v>1662</v>
      </c>
      <c r="M2343" s="14">
        <v>4777</v>
      </c>
      <c r="N2343" s="14">
        <v>123</v>
      </c>
      <c r="O2343" s="16"/>
      <c r="P2343" s="6">
        <v>39941.545381944445</v>
      </c>
      <c r="Q2343" s="12" t="s">
        <v>8424</v>
      </c>
      <c r="R2343" s="17" t="s">
        <v>8425</v>
      </c>
      <c r="S2343" s="11"/>
      <c r="T2343" s="11"/>
      <c r="U2343" s="10" t="str">
        <f>HYPERLINK("https://pbs.twimg.com/profile_images/1392816248/jzuazola_profile_from_David_sin_ojeras.jpg","View")</f>
        <v>View</v>
      </c>
    </row>
    <row r="2344" spans="1:21" ht="51">
      <c r="A2344" s="6">
        <v>43438.488206018519</v>
      </c>
      <c r="B2344" s="7" t="str">
        <f>HYPERLINK("https://twitter.com/2000Titom","@2000Titom")</f>
        <v>@2000Titom</v>
      </c>
      <c r="C2344" s="8" t="s">
        <v>7638</v>
      </c>
      <c r="D2344" s="9" t="s">
        <v>7650</v>
      </c>
      <c r="E2344" s="10" t="str">
        <f>HYPERLINK("https://twitter.com/2000Titom/status/1069904901998866434","1069904901998866434")</f>
        <v>1069904901998866434</v>
      </c>
      <c r="F2344" s="11"/>
      <c r="G2344" s="11"/>
      <c r="H2344" s="11"/>
      <c r="I2344" s="14">
        <v>0</v>
      </c>
      <c r="J2344" s="14">
        <v>1</v>
      </c>
      <c r="K2344" s="15" t="str">
        <f>HYPERLINK("http://twitter.com","Twitter Web Client")</f>
        <v>Twitter Web Client</v>
      </c>
      <c r="L2344" s="14">
        <v>2</v>
      </c>
      <c r="M2344" s="14">
        <v>26</v>
      </c>
      <c r="N2344" s="14">
        <v>0</v>
      </c>
      <c r="O2344" s="16"/>
      <c r="P2344" s="6">
        <v>42109.747592592597</v>
      </c>
      <c r="Q2344" s="11"/>
      <c r="R2344" s="18"/>
      <c r="S2344" s="11"/>
      <c r="T2344" s="11"/>
      <c r="U2344" s="19" t="s">
        <v>629</v>
      </c>
    </row>
    <row r="2345" spans="1:21" ht="20.399999999999999">
      <c r="A2345" s="6">
        <v>43438.487222222218</v>
      </c>
      <c r="B2345" s="7" t="str">
        <f>HYPERLINK("https://twitter.com/JC_C_A","@JC_C_A")</f>
        <v>@JC_C_A</v>
      </c>
      <c r="C2345" s="8" t="s">
        <v>1651</v>
      </c>
      <c r="D2345" s="9" t="s">
        <v>8521</v>
      </c>
      <c r="E2345" s="10" t="str">
        <f>HYPERLINK("https://twitter.com/JC_C_A/status/1069904547928256513","1069904547928256513")</f>
        <v>1069904547928256513</v>
      </c>
      <c r="F2345" s="11"/>
      <c r="G2345" s="11"/>
      <c r="H2345" s="11"/>
      <c r="I2345" s="14">
        <v>1</v>
      </c>
      <c r="J2345" s="14">
        <v>0</v>
      </c>
      <c r="K2345" s="15" t="str">
        <f t="shared" ref="K2345:K2346" si="462">HYPERLINK("http://twitter.com/download/android","Twitter for Android")</f>
        <v>Twitter for Android</v>
      </c>
      <c r="L2345" s="14">
        <v>1535</v>
      </c>
      <c r="M2345" s="14">
        <v>1285</v>
      </c>
      <c r="N2345" s="14">
        <v>4</v>
      </c>
      <c r="O2345" s="16"/>
      <c r="P2345" s="6">
        <v>43055.93885416667</v>
      </c>
      <c r="Q2345" s="12" t="s">
        <v>1655</v>
      </c>
      <c r="R2345" s="17" t="s">
        <v>1656</v>
      </c>
      <c r="S2345" s="11"/>
      <c r="T2345" s="11"/>
      <c r="U2345" s="10" t="str">
        <f>HYPERLINK("https://pbs.twimg.com/profile_images/1029775179520647169/gj_YgLkP.jpg","View")</f>
        <v>View</v>
      </c>
    </row>
    <row r="2346" spans="1:21" ht="40.799999999999997">
      <c r="A2346" s="6">
        <v>43438.486261574071</v>
      </c>
      <c r="B2346" s="7" t="str">
        <f>HYPERLINK("https://twitter.com/Big_Crueisy","@Big_Crueisy")</f>
        <v>@Big_Crueisy</v>
      </c>
      <c r="C2346" s="8" t="s">
        <v>8522</v>
      </c>
      <c r="D2346" s="9" t="s">
        <v>8523</v>
      </c>
      <c r="E2346" s="10" t="str">
        <f>HYPERLINK("https://twitter.com/Big_Crueisy/status/1069904199142518784","1069904199142518784")</f>
        <v>1069904199142518784</v>
      </c>
      <c r="F2346" s="13" t="s">
        <v>8524</v>
      </c>
      <c r="G2346" s="11"/>
      <c r="H2346" s="11"/>
      <c r="I2346" s="14">
        <v>0</v>
      </c>
      <c r="J2346" s="14">
        <v>0</v>
      </c>
      <c r="K2346" s="15" t="str">
        <f t="shared" si="462"/>
        <v>Twitter for Android</v>
      </c>
      <c r="L2346" s="14">
        <v>63</v>
      </c>
      <c r="M2346" s="14">
        <v>85</v>
      </c>
      <c r="N2346" s="14">
        <v>1</v>
      </c>
      <c r="O2346" s="16"/>
      <c r="P2346" s="6">
        <v>41233.082280092596</v>
      </c>
      <c r="Q2346" s="12" t="s">
        <v>137</v>
      </c>
      <c r="R2346" s="17" t="s">
        <v>8525</v>
      </c>
      <c r="S2346" s="11"/>
      <c r="T2346" s="11"/>
      <c r="U2346" s="10" t="str">
        <f>HYPERLINK("https://pbs.twimg.com/profile_images/920046346102562816/wLK2YVge.jpg","View")</f>
        <v>View</v>
      </c>
    </row>
    <row r="2347" spans="1:21" ht="51">
      <c r="A2347" s="6">
        <v>43438.485995370371</v>
      </c>
      <c r="B2347" s="7" t="str">
        <f>HYPERLINK("https://twitter.com/alberto_seoane_","@alberto_seoane_")</f>
        <v>@alberto_seoane_</v>
      </c>
      <c r="C2347" s="8" t="s">
        <v>7651</v>
      </c>
      <c r="D2347" s="9" t="s">
        <v>7652</v>
      </c>
      <c r="E2347" s="10" t="str">
        <f>HYPERLINK("https://twitter.com/alberto_seoane_/status/1069904101138464769","1069904101138464769")</f>
        <v>1069904101138464769</v>
      </c>
      <c r="F2347" s="11"/>
      <c r="G2347" s="11"/>
      <c r="H2347" s="11"/>
      <c r="I2347" s="14">
        <v>3</v>
      </c>
      <c r="J2347" s="14">
        <v>6</v>
      </c>
      <c r="K2347" s="15" t="str">
        <f>HYPERLINK("http://twitter.com/download/iphone","Twitter for iPhone")</f>
        <v>Twitter for iPhone</v>
      </c>
      <c r="L2347" s="14">
        <v>899</v>
      </c>
      <c r="M2347" s="14">
        <v>2821</v>
      </c>
      <c r="N2347" s="14">
        <v>9</v>
      </c>
      <c r="O2347" s="16"/>
      <c r="P2347" s="6">
        <v>42496.603946759264</v>
      </c>
      <c r="Q2347" s="12" t="s">
        <v>7653</v>
      </c>
      <c r="R2347" s="17" t="s">
        <v>7654</v>
      </c>
      <c r="S2347" s="11"/>
      <c r="T2347" s="11"/>
      <c r="U2347" s="10" t="str">
        <f>HYPERLINK("https://pbs.twimg.com/profile_images/796787814679584768/13KNV6TI.jpg","View")</f>
        <v>View</v>
      </c>
    </row>
    <row r="2348" spans="1:21" ht="30.6">
      <c r="A2348" s="6">
        <v>43438.485671296294</v>
      </c>
      <c r="B2348" s="7" t="str">
        <f>HYPERLINK("https://twitter.com/carmengarrido52","@carmengarrido52")</f>
        <v>@carmengarrido52</v>
      </c>
      <c r="C2348" s="8" t="s">
        <v>8526</v>
      </c>
      <c r="D2348" s="9" t="s">
        <v>8527</v>
      </c>
      <c r="E2348" s="10" t="str">
        <f>HYPERLINK("https://twitter.com/carmengarrido52/status/1069903986260668416","1069903986260668416")</f>
        <v>1069903986260668416</v>
      </c>
      <c r="F2348" s="11"/>
      <c r="G2348" s="11"/>
      <c r="H2348" s="11"/>
      <c r="I2348" s="14">
        <v>0</v>
      </c>
      <c r="J2348" s="14">
        <v>0</v>
      </c>
      <c r="K2348" s="15" t="str">
        <f>HYPERLINK("http://twitter.com/download/android","Twitter for Android")</f>
        <v>Twitter for Android</v>
      </c>
      <c r="L2348" s="14">
        <v>1109</v>
      </c>
      <c r="M2348" s="14">
        <v>1509</v>
      </c>
      <c r="N2348" s="14">
        <v>23</v>
      </c>
      <c r="O2348" s="16"/>
      <c r="P2348" s="6">
        <v>41531.976620370369</v>
      </c>
      <c r="Q2348" s="12" t="s">
        <v>8528</v>
      </c>
      <c r="R2348" s="17" t="s">
        <v>8529</v>
      </c>
      <c r="S2348" s="11"/>
      <c r="T2348" s="11"/>
      <c r="U2348" s="10" t="str">
        <f>HYPERLINK("https://pbs.twimg.com/profile_images/1001552344532881409/Amrn90T9.jpg","View")</f>
        <v>View</v>
      </c>
    </row>
    <row r="2349" spans="1:21" ht="20.399999999999999">
      <c r="A2349" s="6">
        <v>43438.484444444446</v>
      </c>
      <c r="B2349" s="7" t="str">
        <f>HYPERLINK("https://twitter.com/Trompeta36","@Trompeta36")</f>
        <v>@Trompeta36</v>
      </c>
      <c r="C2349" s="8" t="s">
        <v>8530</v>
      </c>
      <c r="D2349" s="9" t="s">
        <v>8531</v>
      </c>
      <c r="E2349" s="10" t="str">
        <f>HYPERLINK("https://twitter.com/Trompeta36/status/1069903540070612992","1069903540070612992")</f>
        <v>1069903540070612992</v>
      </c>
      <c r="F2349" s="13" t="s">
        <v>8532</v>
      </c>
      <c r="G2349" s="11"/>
      <c r="H2349" s="11"/>
      <c r="I2349" s="14">
        <v>0</v>
      </c>
      <c r="J2349" s="14">
        <v>0</v>
      </c>
      <c r="K2349" s="15" t="str">
        <f>HYPERLINK("http://www.facebook.com/twitter","Facebook")</f>
        <v>Facebook</v>
      </c>
      <c r="L2349" s="14">
        <v>2244</v>
      </c>
      <c r="M2349" s="14">
        <v>2948</v>
      </c>
      <c r="N2349" s="14">
        <v>21</v>
      </c>
      <c r="O2349" s="16"/>
      <c r="P2349" s="6">
        <v>40835.551631944443</v>
      </c>
      <c r="Q2349" s="12" t="s">
        <v>8533</v>
      </c>
      <c r="R2349" s="17" t="s">
        <v>8534</v>
      </c>
      <c r="S2349" s="11"/>
      <c r="T2349" s="11"/>
      <c r="U2349" s="10" t="str">
        <f>HYPERLINK("https://pbs.twimg.com/profile_images/723132334489346048/JJaObwC9.jpg","View")</f>
        <v>View</v>
      </c>
    </row>
    <row r="2350" spans="1:21" ht="51">
      <c r="A2350" s="6">
        <v>43438.483749999999</v>
      </c>
      <c r="B2350" s="7" t="str">
        <f>HYPERLINK("https://twitter.com/jlopezfeliz","@jlopezfeliz")</f>
        <v>@jlopezfeliz</v>
      </c>
      <c r="C2350" s="8" t="s">
        <v>7655</v>
      </c>
      <c r="D2350" s="9" t="s">
        <v>7656</v>
      </c>
      <c r="E2350" s="10" t="str">
        <f>HYPERLINK("https://twitter.com/jlopezfeliz/status/1069903287313489920","1069903287313489920")</f>
        <v>1069903287313489920</v>
      </c>
      <c r="F2350" s="11"/>
      <c r="G2350" s="13" t="s">
        <v>7657</v>
      </c>
      <c r="H2350" s="11"/>
      <c r="I2350" s="14">
        <v>38</v>
      </c>
      <c r="J2350" s="14">
        <v>17</v>
      </c>
      <c r="K2350" s="15" t="str">
        <f t="shared" ref="K2350:K2352" si="463">HYPERLINK("http://twitter.com/download/android","Twitter for Android")</f>
        <v>Twitter for Android</v>
      </c>
      <c r="L2350" s="14">
        <v>4002</v>
      </c>
      <c r="M2350" s="14">
        <v>2905</v>
      </c>
      <c r="N2350" s="14">
        <v>20</v>
      </c>
      <c r="O2350" s="16"/>
      <c r="P2350" s="6">
        <v>42243.717650462961</v>
      </c>
      <c r="Q2350" s="12" t="s">
        <v>7659</v>
      </c>
      <c r="R2350" s="17" t="s">
        <v>7660</v>
      </c>
      <c r="S2350" s="11"/>
      <c r="T2350" s="11"/>
      <c r="U2350" s="10" t="str">
        <f>HYPERLINK("https://pbs.twimg.com/profile_images/1053538043787968512/1vdmQgt5.jpg","View")</f>
        <v>View</v>
      </c>
    </row>
    <row r="2351" spans="1:21" ht="30.6">
      <c r="A2351" s="6">
        <v>43438.482418981483</v>
      </c>
      <c r="B2351" s="7" t="str">
        <f>HYPERLINK("https://twitter.com/Vicbcn67","@Vicbcn67")</f>
        <v>@Vicbcn67</v>
      </c>
      <c r="C2351" s="8" t="s">
        <v>7662</v>
      </c>
      <c r="D2351" s="9" t="s">
        <v>7663</v>
      </c>
      <c r="E2351" s="10" t="str">
        <f>HYPERLINK("https://twitter.com/Vicbcn67/status/1069902805610192896","1069902805610192896")</f>
        <v>1069902805610192896</v>
      </c>
      <c r="F2351" s="11"/>
      <c r="G2351" s="11"/>
      <c r="H2351" s="11"/>
      <c r="I2351" s="14">
        <v>0</v>
      </c>
      <c r="J2351" s="14">
        <v>0</v>
      </c>
      <c r="K2351" s="15" t="str">
        <f t="shared" si="463"/>
        <v>Twitter for Android</v>
      </c>
      <c r="L2351" s="14">
        <v>702</v>
      </c>
      <c r="M2351" s="14">
        <v>1618</v>
      </c>
      <c r="N2351" s="14">
        <v>3</v>
      </c>
      <c r="O2351" s="16"/>
      <c r="P2351" s="6">
        <v>40691.747673611113</v>
      </c>
      <c r="Q2351" s="12" t="s">
        <v>786</v>
      </c>
      <c r="R2351" s="18"/>
      <c r="S2351" s="11"/>
      <c r="T2351" s="11"/>
      <c r="U2351" s="10" t="str">
        <f>HYPERLINK("https://pbs.twimg.com/profile_images/378800000473449614/0f5827ca321f0926261e373d7dff4c6e.jpeg","View")</f>
        <v>View</v>
      </c>
    </row>
    <row r="2352" spans="1:21" ht="51">
      <c r="A2352" s="6">
        <v>43438.48238425926</v>
      </c>
      <c r="B2352" s="7" t="str">
        <f>HYPERLINK("https://twitter.com/Cs_Calafell","@Cs_Calafell")</f>
        <v>@Cs_Calafell</v>
      </c>
      <c r="C2352" s="8" t="s">
        <v>3003</v>
      </c>
      <c r="D2352" s="9" t="s">
        <v>7664</v>
      </c>
      <c r="E2352" s="10" t="str">
        <f>HYPERLINK("https://twitter.com/Cs_Calafell/status/1069902795380322304","1069902795380322304")</f>
        <v>1069902795380322304</v>
      </c>
      <c r="F2352" s="11"/>
      <c r="G2352" s="13" t="s">
        <v>7665</v>
      </c>
      <c r="H2352" s="11"/>
      <c r="I2352" s="14">
        <v>10</v>
      </c>
      <c r="J2352" s="14">
        <v>13</v>
      </c>
      <c r="K2352" s="15" t="str">
        <f t="shared" si="463"/>
        <v>Twitter for Android</v>
      </c>
      <c r="L2352" s="14">
        <v>2640</v>
      </c>
      <c r="M2352" s="14">
        <v>1040</v>
      </c>
      <c r="N2352" s="14">
        <v>35</v>
      </c>
      <c r="O2352" s="16"/>
      <c r="P2352" s="6">
        <v>41668.835312499999</v>
      </c>
      <c r="Q2352" s="12" t="s">
        <v>3008</v>
      </c>
      <c r="R2352" s="17" t="s">
        <v>3009</v>
      </c>
      <c r="S2352" s="13" t="s">
        <v>3010</v>
      </c>
      <c r="T2352" s="11"/>
      <c r="U2352" s="10" t="str">
        <f>HYPERLINK("https://pbs.twimg.com/profile_images/906934584377520128/qc5_9kta.jpg","View")</f>
        <v>View</v>
      </c>
    </row>
    <row r="2353" spans="1:21" ht="102">
      <c r="A2353" s="6">
        <v>43438.482268518521</v>
      </c>
      <c r="B2353" s="7" t="str">
        <f>HYPERLINK("https://twitter.com/ACruzBizarro","@ACruzBizarro")</f>
        <v>@ACruzBizarro</v>
      </c>
      <c r="C2353" s="8" t="s">
        <v>7666</v>
      </c>
      <c r="D2353" s="9" t="s">
        <v>7667</v>
      </c>
      <c r="E2353" s="10" t="str">
        <f>HYPERLINK("https://twitter.com/ACruzBizarro/status/1069902751818223616","1069902751818223616")</f>
        <v>1069902751818223616</v>
      </c>
      <c r="F2353" s="13" t="s">
        <v>7668</v>
      </c>
      <c r="G2353" s="13" t="s">
        <v>7669</v>
      </c>
      <c r="H2353" s="11"/>
      <c r="I2353" s="14">
        <v>0</v>
      </c>
      <c r="J2353" s="14">
        <v>0</v>
      </c>
      <c r="K2353" s="15" t="str">
        <f t="shared" ref="K2353:K2354" si="464">HYPERLINK("http://twitter.com/download/iphone","Twitter for iPhone")</f>
        <v>Twitter for iPhone</v>
      </c>
      <c r="L2353" s="14">
        <v>299</v>
      </c>
      <c r="M2353" s="14">
        <v>615</v>
      </c>
      <c r="N2353" s="14">
        <v>5</v>
      </c>
      <c r="O2353" s="16"/>
      <c r="P2353" s="6">
        <v>41919.561932870369</v>
      </c>
      <c r="Q2353" s="11"/>
      <c r="R2353" s="17" t="s">
        <v>7670</v>
      </c>
      <c r="S2353" s="11"/>
      <c r="T2353" s="11"/>
      <c r="U2353" s="10" t="str">
        <f>HYPERLINK("https://pbs.twimg.com/profile_images/1026344499394605056/WCo9svQy.jpg","View")</f>
        <v>View</v>
      </c>
    </row>
    <row r="2354" spans="1:21" ht="51">
      <c r="A2354" s="6">
        <v>43438.481967592597</v>
      </c>
      <c r="B2354" s="7" t="str">
        <f>HYPERLINK("https://twitter.com/elviejotaurino","@elviejotaurino")</f>
        <v>@elviejotaurino</v>
      </c>
      <c r="C2354" s="8" t="s">
        <v>7671</v>
      </c>
      <c r="D2354" s="9" t="s">
        <v>7672</v>
      </c>
      <c r="E2354" s="10" t="str">
        <f>HYPERLINK("https://twitter.com/elviejotaurino/status/1069902640694394880","1069902640694394880")</f>
        <v>1069902640694394880</v>
      </c>
      <c r="F2354" s="11"/>
      <c r="G2354" s="11"/>
      <c r="H2354" s="11"/>
      <c r="I2354" s="14">
        <v>1</v>
      </c>
      <c r="J2354" s="14">
        <v>7</v>
      </c>
      <c r="K2354" s="15" t="str">
        <f t="shared" si="464"/>
        <v>Twitter for iPhone</v>
      </c>
      <c r="L2354" s="14">
        <v>1829</v>
      </c>
      <c r="M2354" s="14">
        <v>593</v>
      </c>
      <c r="N2354" s="14">
        <v>13</v>
      </c>
      <c r="O2354" s="16"/>
      <c r="P2354" s="6">
        <v>41295.778587962966</v>
      </c>
      <c r="Q2354" s="11"/>
      <c r="R2354" s="17" t="s">
        <v>7673</v>
      </c>
      <c r="S2354" s="11"/>
      <c r="T2354" s="11"/>
      <c r="U2354" s="10" t="str">
        <f>HYPERLINK("https://pbs.twimg.com/profile_images/3144357059/031cd3d49fcb2a84ee1695b8c5bf64e6.jpeg","View")</f>
        <v>View</v>
      </c>
    </row>
    <row r="2355" spans="1:21" ht="40.799999999999997">
      <c r="A2355" s="6">
        <v>43438.479548611111</v>
      </c>
      <c r="B2355" s="7" t="str">
        <f>HYPERLINK("https://twitter.com/jimgzamora","@jimgzamora")</f>
        <v>@jimgzamora</v>
      </c>
      <c r="C2355" s="8" t="s">
        <v>253</v>
      </c>
      <c r="D2355" s="9" t="s">
        <v>7674</v>
      </c>
      <c r="E2355" s="10" t="str">
        <f>HYPERLINK("https://twitter.com/jimgzamora/status/1069901766366584832","1069901766366584832")</f>
        <v>1069901766366584832</v>
      </c>
      <c r="F2355" s="13" t="s">
        <v>7675</v>
      </c>
      <c r="G2355" s="11"/>
      <c r="H2355" s="11"/>
      <c r="I2355" s="14">
        <v>0</v>
      </c>
      <c r="J2355" s="14">
        <v>0</v>
      </c>
      <c r="K2355" s="15" t="str">
        <f>HYPERLINK("http://instagram.com","Instagram")</f>
        <v>Instagram</v>
      </c>
      <c r="L2355" s="14">
        <v>2759</v>
      </c>
      <c r="M2355" s="14">
        <v>2606</v>
      </c>
      <c r="N2355" s="14">
        <v>43</v>
      </c>
      <c r="O2355" s="16"/>
      <c r="P2355" s="6">
        <v>40933.942557870367</v>
      </c>
      <c r="Q2355" s="11"/>
      <c r="R2355" s="17" t="s">
        <v>262</v>
      </c>
      <c r="S2355" s="13" t="s">
        <v>263</v>
      </c>
      <c r="T2355" s="11"/>
      <c r="U2355" s="10" t="str">
        <f>HYPERLINK("https://pbs.twimg.com/profile_images/562707687066968064/lhTkavxY.png","View")</f>
        <v>View</v>
      </c>
    </row>
    <row r="2356" spans="1:21" ht="40.799999999999997">
      <c r="A2356" s="6">
        <v>43438.478368055556</v>
      </c>
      <c r="B2356" s="7" t="str">
        <f>HYPERLINK("https://twitter.com/DEBB1D","@DEBB1D")</f>
        <v>@DEBB1D</v>
      </c>
      <c r="C2356" s="8" t="s">
        <v>7678</v>
      </c>
      <c r="D2356" s="9" t="s">
        <v>7679</v>
      </c>
      <c r="E2356" s="10" t="str">
        <f>HYPERLINK("https://twitter.com/DEBB1D/status/1069901337406648321","1069901337406648321")</f>
        <v>1069901337406648321</v>
      </c>
      <c r="F2356" s="11"/>
      <c r="G2356" s="11"/>
      <c r="H2356" s="11"/>
      <c r="I2356" s="14">
        <v>0</v>
      </c>
      <c r="J2356" s="14">
        <v>0</v>
      </c>
      <c r="K2356" s="15" t="str">
        <f>HYPERLINK("http://twitter.com","Twitter Web Client")</f>
        <v>Twitter Web Client</v>
      </c>
      <c r="L2356" s="14">
        <v>245</v>
      </c>
      <c r="M2356" s="14">
        <v>1134</v>
      </c>
      <c r="N2356" s="14">
        <v>4</v>
      </c>
      <c r="O2356" s="16"/>
      <c r="P2356" s="6">
        <v>41933.729814814811</v>
      </c>
      <c r="Q2356" s="12" t="s">
        <v>181</v>
      </c>
      <c r="R2356" s="17" t="s">
        <v>7680</v>
      </c>
      <c r="S2356" s="11"/>
      <c r="T2356" s="11"/>
      <c r="U2356" s="10" t="str">
        <f>HYPERLINK("https://pbs.twimg.com/profile_images/524589862662332416/6rMDw6zt.jpeg","View")</f>
        <v>View</v>
      </c>
    </row>
    <row r="2357" spans="1:21" ht="51">
      <c r="A2357" s="6">
        <v>43438.477731481486</v>
      </c>
      <c r="B2357" s="7" t="str">
        <f>HYPERLINK("https://twitter.com/mmmbango","@mmmbango")</f>
        <v>@mmmbango</v>
      </c>
      <c r="C2357" s="8" t="s">
        <v>1055</v>
      </c>
      <c r="D2357" s="9" t="s">
        <v>8535</v>
      </c>
      <c r="E2357" s="10" t="str">
        <f>HYPERLINK("https://twitter.com/mmmbango/status/1069901105587544064","1069901105587544064")</f>
        <v>1069901105587544064</v>
      </c>
      <c r="F2357" s="11"/>
      <c r="G2357" s="13" t="s">
        <v>8536</v>
      </c>
      <c r="H2357" s="11"/>
      <c r="I2357" s="14">
        <v>1</v>
      </c>
      <c r="J2357" s="14">
        <v>2</v>
      </c>
      <c r="K2357" s="15" t="str">
        <f>HYPERLINK("http://twitter.com/download/android","Twitter for Android")</f>
        <v>Twitter for Android</v>
      </c>
      <c r="L2357" s="14">
        <v>6691</v>
      </c>
      <c r="M2357" s="14">
        <v>4488</v>
      </c>
      <c r="N2357" s="14">
        <v>69</v>
      </c>
      <c r="O2357" s="16"/>
      <c r="P2357" s="6">
        <v>41521.720983796295</v>
      </c>
      <c r="Q2357" s="12" t="s">
        <v>1060</v>
      </c>
      <c r="R2357" s="17" t="s">
        <v>1061</v>
      </c>
      <c r="S2357" s="13" t="s">
        <v>1062</v>
      </c>
      <c r="T2357" s="11"/>
      <c r="U2357" s="10" t="str">
        <f>HYPERLINK("https://pbs.twimg.com/profile_images/855523465796964352/PuP44M-h.jpg","View")</f>
        <v>View</v>
      </c>
    </row>
    <row r="2358" spans="1:21" ht="20.399999999999999">
      <c r="A2358" s="6">
        <v>43438.475752314815</v>
      </c>
      <c r="B2358" s="7" t="str">
        <f>HYPERLINK("https://twitter.com/chuchicharra","@chuchicharra")</f>
        <v>@chuchicharra</v>
      </c>
      <c r="C2358" s="8" t="s">
        <v>8537</v>
      </c>
      <c r="D2358" s="9" t="s">
        <v>8538</v>
      </c>
      <c r="E2358" s="10" t="str">
        <f>HYPERLINK("https://twitter.com/chuchicharra/status/1069900389607190531","1069900389607190531")</f>
        <v>1069900389607190531</v>
      </c>
      <c r="F2358" s="11"/>
      <c r="G2358" s="11"/>
      <c r="H2358" s="11"/>
      <c r="I2358" s="14">
        <v>0</v>
      </c>
      <c r="J2358" s="14">
        <v>1</v>
      </c>
      <c r="K2358" s="15" t="str">
        <f t="shared" ref="K2358:K2360" si="465">HYPERLINK("http://twitter.com","Twitter Web Client")</f>
        <v>Twitter Web Client</v>
      </c>
      <c r="L2358" s="14">
        <v>2965</v>
      </c>
      <c r="M2358" s="14">
        <v>2718</v>
      </c>
      <c r="N2358" s="14">
        <v>29</v>
      </c>
      <c r="O2358" s="16"/>
      <c r="P2358" s="6">
        <v>40709.431643518517</v>
      </c>
      <c r="Q2358" s="12" t="s">
        <v>8539</v>
      </c>
      <c r="R2358" s="17" t="s">
        <v>8540</v>
      </c>
      <c r="S2358" s="11"/>
      <c r="T2358" s="11"/>
      <c r="U2358" s="10" t="str">
        <f>HYPERLINK("https://pbs.twimg.com/profile_images/1056813208500084736/sDrB-J_a.jpg","View")</f>
        <v>View</v>
      </c>
    </row>
    <row r="2359" spans="1:21" ht="91.8">
      <c r="A2359" s="6">
        <v>43438.474918981483</v>
      </c>
      <c r="B2359" s="7" t="str">
        <f>HYPERLINK("https://twitter.com/_Xcat__","@_Xcat__")</f>
        <v>@_Xcat__</v>
      </c>
      <c r="C2359" s="8" t="s">
        <v>7681</v>
      </c>
      <c r="D2359" s="9" t="s">
        <v>7682</v>
      </c>
      <c r="E2359" s="10" t="str">
        <f>HYPERLINK("https://twitter.com/_Xcat__/status/1069900089764777987","1069900089764777987")</f>
        <v>1069900089764777987</v>
      </c>
      <c r="F2359" s="12" t="s">
        <v>7683</v>
      </c>
      <c r="G2359" s="11"/>
      <c r="H2359" s="11"/>
      <c r="I2359" s="14">
        <v>0</v>
      </c>
      <c r="J2359" s="14">
        <v>0</v>
      </c>
      <c r="K2359" s="15" t="str">
        <f t="shared" si="465"/>
        <v>Twitter Web Client</v>
      </c>
      <c r="L2359" s="14">
        <v>141</v>
      </c>
      <c r="M2359" s="14">
        <v>380</v>
      </c>
      <c r="N2359" s="14">
        <v>3</v>
      </c>
      <c r="O2359" s="16"/>
      <c r="P2359" s="6">
        <v>40516.837060185186</v>
      </c>
      <c r="Q2359" s="12" t="s">
        <v>2355</v>
      </c>
      <c r="R2359" s="17" t="s">
        <v>7684</v>
      </c>
      <c r="S2359" s="11"/>
      <c r="T2359" s="11"/>
      <c r="U2359" s="10" t="str">
        <f>HYPERLINK("https://pbs.twimg.com/profile_images/982510029512245249/eBY7itYD.jpg","View")</f>
        <v>View</v>
      </c>
    </row>
    <row r="2360" spans="1:21" ht="40.799999999999997">
      <c r="A2360" s="6">
        <v>43438.474606481483</v>
      </c>
      <c r="B2360" s="7" t="str">
        <f>HYPERLINK("https://twitter.com/Juanoalvi","@Juanoalvi")</f>
        <v>@Juanoalvi</v>
      </c>
      <c r="C2360" s="8" t="s">
        <v>7687</v>
      </c>
      <c r="D2360" s="9" t="s">
        <v>7689</v>
      </c>
      <c r="E2360" s="10" t="str">
        <f>HYPERLINK("https://twitter.com/Juanoalvi/status/1069899975272873985","1069899975272873985")</f>
        <v>1069899975272873985</v>
      </c>
      <c r="F2360" s="13" t="s">
        <v>7691</v>
      </c>
      <c r="G2360" s="13" t="s">
        <v>7692</v>
      </c>
      <c r="H2360" s="11"/>
      <c r="I2360" s="14">
        <v>0</v>
      </c>
      <c r="J2360" s="14">
        <v>0</v>
      </c>
      <c r="K2360" s="15" t="str">
        <f t="shared" si="465"/>
        <v>Twitter Web Client</v>
      </c>
      <c r="L2360" s="14">
        <v>1636</v>
      </c>
      <c r="M2360" s="14">
        <v>2416</v>
      </c>
      <c r="N2360" s="14">
        <v>20</v>
      </c>
      <c r="O2360" s="16"/>
      <c r="P2360" s="6">
        <v>40682.847986111112</v>
      </c>
      <c r="Q2360" s="11"/>
      <c r="R2360" s="17" t="s">
        <v>7693</v>
      </c>
      <c r="S2360" s="11"/>
      <c r="T2360" s="11"/>
      <c r="U2360" s="10" t="str">
        <f>HYPERLINK("https://pbs.twimg.com/profile_images/2544804070/wun0ekf03te5vzymvddc.jpeg","View")</f>
        <v>View</v>
      </c>
    </row>
    <row r="2361" spans="1:21" ht="40.799999999999997">
      <c r="A2361" s="6">
        <v>43438.474606481483</v>
      </c>
      <c r="B2361" s="7" t="str">
        <f>HYPERLINK("https://twitter.com/Carmenmartp","@Carmenmartp")</f>
        <v>@Carmenmartp</v>
      </c>
      <c r="C2361" s="8" t="s">
        <v>7694</v>
      </c>
      <c r="D2361" s="9" t="s">
        <v>7695</v>
      </c>
      <c r="E2361" s="10" t="str">
        <f>HYPERLINK("https://twitter.com/Carmenmartp/status/1069899973272199168","1069899973272199168")</f>
        <v>1069899973272199168</v>
      </c>
      <c r="F2361" s="11"/>
      <c r="G2361" s="13" t="s">
        <v>7696</v>
      </c>
      <c r="H2361" s="11"/>
      <c r="I2361" s="14">
        <v>1</v>
      </c>
      <c r="J2361" s="14">
        <v>2</v>
      </c>
      <c r="K2361" s="15" t="str">
        <f>HYPERLINK("http://twitter.com/download/android","Twitter for Android")</f>
        <v>Twitter for Android</v>
      </c>
      <c r="L2361" s="14">
        <v>815</v>
      </c>
      <c r="M2361" s="14">
        <v>300</v>
      </c>
      <c r="N2361" s="14">
        <v>3</v>
      </c>
      <c r="O2361" s="16"/>
      <c r="P2361" s="6">
        <v>41337.613506944443</v>
      </c>
      <c r="Q2361" s="12" t="s">
        <v>1695</v>
      </c>
      <c r="R2361" s="17" t="s">
        <v>7697</v>
      </c>
      <c r="S2361" s="11"/>
      <c r="T2361" s="11"/>
      <c r="U2361" s="10" t="str">
        <f>HYPERLINK("https://pbs.twimg.com/profile_images/1059049400440381440/8XZtEMIV.jpg","View")</f>
        <v>View</v>
      </c>
    </row>
    <row r="2362" spans="1:21" ht="51">
      <c r="A2362" s="6">
        <v>43438.472650462965</v>
      </c>
      <c r="B2362" s="7" t="str">
        <f>HYPERLINK("https://twitter.com/El_Espartero","@El_Espartero")</f>
        <v>@El_Espartero</v>
      </c>
      <c r="C2362" s="8" t="s">
        <v>7102</v>
      </c>
      <c r="D2362" s="9" t="s">
        <v>7698</v>
      </c>
      <c r="E2362" s="10" t="str">
        <f>HYPERLINK("https://twitter.com/El_Espartero/status/1069899267899314177","1069899267899314177")</f>
        <v>1069899267899314177</v>
      </c>
      <c r="F2362" s="11"/>
      <c r="G2362" s="11"/>
      <c r="H2362" s="11"/>
      <c r="I2362" s="14">
        <v>0</v>
      </c>
      <c r="J2362" s="14">
        <v>0</v>
      </c>
      <c r="K2362" s="15" t="str">
        <f t="shared" ref="K2362:K2363" si="466">HYPERLINK("http://twitter.com","Twitter Web Client")</f>
        <v>Twitter Web Client</v>
      </c>
      <c r="L2362" s="14">
        <v>86</v>
      </c>
      <c r="M2362" s="14">
        <v>141</v>
      </c>
      <c r="N2362" s="14">
        <v>1</v>
      </c>
      <c r="O2362" s="16"/>
      <c r="P2362" s="6">
        <v>40959.625462962962</v>
      </c>
      <c r="Q2362" s="11"/>
      <c r="R2362" s="17" t="s">
        <v>7108</v>
      </c>
      <c r="S2362" s="11"/>
      <c r="T2362" s="11"/>
      <c r="U2362" s="10" t="str">
        <f>HYPERLINK("https://pbs.twimg.com/profile_images/1842956434/El_Espartero.JPG","View")</f>
        <v>View</v>
      </c>
    </row>
    <row r="2363" spans="1:21" ht="91.8">
      <c r="A2363" s="6">
        <v>43438.471817129626</v>
      </c>
      <c r="B2363" s="7" t="str">
        <f>HYPERLINK("https://twitter.com/ferpectamente","@ferpectamente")</f>
        <v>@ferpectamente</v>
      </c>
      <c r="C2363" s="8" t="s">
        <v>7701</v>
      </c>
      <c r="D2363" s="9" t="s">
        <v>7702</v>
      </c>
      <c r="E2363" s="10" t="str">
        <f>HYPERLINK("https://twitter.com/ferpectamente/status/1069898965443858433","1069898965443858433")</f>
        <v>1069898965443858433</v>
      </c>
      <c r="F2363" s="12" t="s">
        <v>6915</v>
      </c>
      <c r="G2363" s="11"/>
      <c r="H2363" s="11"/>
      <c r="I2363" s="14">
        <v>2</v>
      </c>
      <c r="J2363" s="14">
        <v>1</v>
      </c>
      <c r="K2363" s="15" t="str">
        <f t="shared" si="466"/>
        <v>Twitter Web Client</v>
      </c>
      <c r="L2363" s="14">
        <v>1109</v>
      </c>
      <c r="M2363" s="14">
        <v>986</v>
      </c>
      <c r="N2363" s="14">
        <v>34</v>
      </c>
      <c r="O2363" s="16"/>
      <c r="P2363" s="6">
        <v>39187.475231481483</v>
      </c>
      <c r="Q2363" s="12" t="s">
        <v>7704</v>
      </c>
      <c r="R2363" s="17" t="s">
        <v>7705</v>
      </c>
      <c r="S2363" s="11"/>
      <c r="T2363" s="11"/>
      <c r="U2363" s="10" t="str">
        <f>HYPERLINK("https://pbs.twimg.com/profile_images/826852103276658689/21JYc9J_.jpg","View")</f>
        <v>View</v>
      </c>
    </row>
    <row r="2364" spans="1:21" ht="51">
      <c r="A2364" s="6">
        <v>43438.47047453704</v>
      </c>
      <c r="B2364" s="7" t="str">
        <f>HYPERLINK("https://twitter.com/SpKekistani","@SpKekistani")</f>
        <v>@SpKekistani</v>
      </c>
      <c r="C2364" s="8" t="s">
        <v>7706</v>
      </c>
      <c r="D2364" s="9" t="s">
        <v>7707</v>
      </c>
      <c r="E2364" s="10" t="str">
        <f>HYPERLINK("https://twitter.com/SpKekistani/status/1069898479663751168","1069898479663751168")</f>
        <v>1069898479663751168</v>
      </c>
      <c r="F2364" s="11"/>
      <c r="G2364" s="11"/>
      <c r="H2364" s="11"/>
      <c r="I2364" s="14">
        <v>4</v>
      </c>
      <c r="J2364" s="14">
        <v>3</v>
      </c>
      <c r="K2364" s="15" t="str">
        <f t="shared" ref="K2364:K2368" si="467">HYPERLINK("http://twitter.com/download/iphone","Twitter for iPhone")</f>
        <v>Twitter for iPhone</v>
      </c>
      <c r="L2364" s="14">
        <v>125</v>
      </c>
      <c r="M2364" s="14">
        <v>263</v>
      </c>
      <c r="N2364" s="14">
        <v>2</v>
      </c>
      <c r="O2364" s="16"/>
      <c r="P2364" s="6">
        <v>43361.58430555556</v>
      </c>
      <c r="Q2364" s="12" t="s">
        <v>7709</v>
      </c>
      <c r="R2364" s="17" t="s">
        <v>7710</v>
      </c>
      <c r="S2364" s="11"/>
      <c r="T2364" s="11"/>
      <c r="U2364" s="10" t="str">
        <f>HYPERLINK("https://pbs.twimg.com/profile_images/1042023446039994368/h8XBYZ4J.jpg","View")</f>
        <v>View</v>
      </c>
    </row>
    <row r="2365" spans="1:21" ht="81.599999999999994">
      <c r="A2365" s="6">
        <v>43438.470173611116</v>
      </c>
      <c r="B2365" s="7" t="str">
        <f>HYPERLINK("https://twitter.com/clodobaldogd","@clodobaldogd")</f>
        <v>@clodobaldogd</v>
      </c>
      <c r="C2365" s="8" t="s">
        <v>7612</v>
      </c>
      <c r="D2365" s="9" t="s">
        <v>7712</v>
      </c>
      <c r="E2365" s="10" t="str">
        <f>HYPERLINK("https://twitter.com/clodobaldogd/status/1069898366920876033","1069898366920876033")</f>
        <v>1069898366920876033</v>
      </c>
      <c r="F2365" s="13" t="s">
        <v>7715</v>
      </c>
      <c r="G2365" s="11"/>
      <c r="H2365" s="11"/>
      <c r="I2365" s="14">
        <v>0</v>
      </c>
      <c r="J2365" s="14">
        <v>0</v>
      </c>
      <c r="K2365" s="15" t="str">
        <f t="shared" si="467"/>
        <v>Twitter for iPhone</v>
      </c>
      <c r="L2365" s="14">
        <v>379</v>
      </c>
      <c r="M2365" s="14">
        <v>982</v>
      </c>
      <c r="N2365" s="14">
        <v>9</v>
      </c>
      <c r="O2365" s="16"/>
      <c r="P2365" s="6">
        <v>41375.872962962967</v>
      </c>
      <c r="Q2365" s="12" t="s">
        <v>7613</v>
      </c>
      <c r="R2365" s="17" t="s">
        <v>7614</v>
      </c>
      <c r="S2365" s="13" t="s">
        <v>7615</v>
      </c>
      <c r="T2365" s="11"/>
      <c r="U2365" s="10" t="str">
        <f>HYPERLINK("https://pbs.twimg.com/profile_images/631613352658227200/BQrBVkG6.jpg","View")</f>
        <v>View</v>
      </c>
    </row>
    <row r="2366" spans="1:21" ht="30.6">
      <c r="A2366" s="6">
        <v>43438.469861111109</v>
      </c>
      <c r="B2366" s="7" t="str">
        <f>HYPERLINK("https://twitter.com/JcsCatalunya","@JcsCatalunya")</f>
        <v>@JcsCatalunya</v>
      </c>
      <c r="C2366" s="8" t="s">
        <v>3573</v>
      </c>
      <c r="D2366" s="9" t="s">
        <v>7719</v>
      </c>
      <c r="E2366" s="10" t="str">
        <f>HYPERLINK("https://twitter.com/JcsCatalunya/status/1069898255440470016","1069898255440470016")</f>
        <v>1069898255440470016</v>
      </c>
      <c r="F2366" s="11"/>
      <c r="G2366" s="13" t="s">
        <v>7720</v>
      </c>
      <c r="H2366" s="11"/>
      <c r="I2366" s="14">
        <v>27</v>
      </c>
      <c r="J2366" s="14">
        <v>36</v>
      </c>
      <c r="K2366" s="15" t="str">
        <f t="shared" si="467"/>
        <v>Twitter for iPhone</v>
      </c>
      <c r="L2366" s="14">
        <v>1011</v>
      </c>
      <c r="M2366" s="14">
        <v>393</v>
      </c>
      <c r="N2366" s="14">
        <v>5</v>
      </c>
      <c r="O2366" s="16"/>
      <c r="P2366" s="6">
        <v>42846.684479166666</v>
      </c>
      <c r="Q2366" s="11"/>
      <c r="R2366" s="17" t="s">
        <v>3576</v>
      </c>
      <c r="S2366" s="11"/>
      <c r="T2366" s="11"/>
      <c r="U2366" s="10" t="str">
        <f>HYPERLINK("https://pbs.twimg.com/profile_images/1053596557726105600/Y_xd_d57.jpg","View")</f>
        <v>View</v>
      </c>
    </row>
    <row r="2367" spans="1:21" ht="81.599999999999994">
      <c r="A2367" s="6">
        <v>43438.469247685185</v>
      </c>
      <c r="B2367" s="7" t="str">
        <f>HYPERLINK("https://twitter.com/JMLechuga","@JMLechuga")</f>
        <v>@JMLechuga</v>
      </c>
      <c r="C2367" s="8" t="s">
        <v>7721</v>
      </c>
      <c r="D2367" s="9" t="s">
        <v>7722</v>
      </c>
      <c r="E2367" s="10" t="str">
        <f>HYPERLINK("https://twitter.com/JMLechuga/status/1069898033565962240","1069898033565962240")</f>
        <v>1069898033565962240</v>
      </c>
      <c r="F2367" s="12" t="s">
        <v>7723</v>
      </c>
      <c r="G2367" s="11"/>
      <c r="H2367" s="11"/>
      <c r="I2367" s="14">
        <v>1</v>
      </c>
      <c r="J2367" s="14">
        <v>0</v>
      </c>
      <c r="K2367" s="15" t="str">
        <f t="shared" si="467"/>
        <v>Twitter for iPhone</v>
      </c>
      <c r="L2367" s="14">
        <v>4349</v>
      </c>
      <c r="M2367" s="14">
        <v>2909</v>
      </c>
      <c r="N2367" s="14">
        <v>306</v>
      </c>
      <c r="O2367" s="16"/>
      <c r="P2367" s="6">
        <v>40076.956145833334</v>
      </c>
      <c r="Q2367" s="12" t="s">
        <v>7724</v>
      </c>
      <c r="R2367" s="17" t="s">
        <v>7725</v>
      </c>
      <c r="S2367" s="13" t="s">
        <v>7726</v>
      </c>
      <c r="T2367" s="11"/>
      <c r="U2367" s="10" t="str">
        <f>HYPERLINK("https://pbs.twimg.com/profile_images/1070361496377528320/VbvWYKeO.jpg","View")</f>
        <v>View</v>
      </c>
    </row>
    <row r="2368" spans="1:21" ht="40.799999999999997">
      <c r="A2368" s="6">
        <v>43438.467465277776</v>
      </c>
      <c r="B2368" s="7" t="str">
        <f>HYPERLINK("https://twitter.com/jovenesCs","@jovenesCs")</f>
        <v>@jovenesCs</v>
      </c>
      <c r="C2368" s="8" t="s">
        <v>7727</v>
      </c>
      <c r="D2368" s="9" t="s">
        <v>7728</v>
      </c>
      <c r="E2368" s="10" t="str">
        <f>HYPERLINK("https://twitter.com/jovenesCs/status/1069897388012306433","1069897388012306433")</f>
        <v>1069897388012306433</v>
      </c>
      <c r="F2368" s="11"/>
      <c r="G2368" s="13" t="s">
        <v>7729</v>
      </c>
      <c r="H2368" s="11"/>
      <c r="I2368" s="14">
        <v>36</v>
      </c>
      <c r="J2368" s="14">
        <v>49</v>
      </c>
      <c r="K2368" s="15" t="str">
        <f t="shared" si="467"/>
        <v>Twitter for iPhone</v>
      </c>
      <c r="L2368" s="14">
        <v>12191</v>
      </c>
      <c r="M2368" s="14">
        <v>1838</v>
      </c>
      <c r="N2368" s="14">
        <v>140</v>
      </c>
      <c r="O2368" s="16"/>
      <c r="P2368" s="6">
        <v>40931.613634259258</v>
      </c>
      <c r="Q2368" s="12" t="s">
        <v>137</v>
      </c>
      <c r="R2368" s="17" t="s">
        <v>7730</v>
      </c>
      <c r="S2368" s="13" t="s">
        <v>3470</v>
      </c>
      <c r="T2368" s="11"/>
      <c r="U2368" s="10" t="str">
        <f>HYPERLINK("https://pbs.twimg.com/profile_images/1053561153295659013/gcZsphSE.jpg","View")</f>
        <v>View</v>
      </c>
    </row>
    <row r="2369" spans="1:21" ht="51">
      <c r="A2369" s="6">
        <v>43438.46601851852</v>
      </c>
      <c r="B2369" s="7" t="str">
        <f>HYPERLINK("https://twitter.com/NataliaIrisM","@NataliaIrisM")</f>
        <v>@NataliaIrisM</v>
      </c>
      <c r="C2369" s="8" t="s">
        <v>8541</v>
      </c>
      <c r="D2369" s="9" t="s">
        <v>8542</v>
      </c>
      <c r="E2369" s="10" t="str">
        <f>HYPERLINK("https://twitter.com/NataliaIrisM/status/1069896864785416192","1069896864785416192")</f>
        <v>1069896864785416192</v>
      </c>
      <c r="F2369" s="11"/>
      <c r="G2369" s="11"/>
      <c r="H2369" s="11"/>
      <c r="I2369" s="14">
        <v>2</v>
      </c>
      <c r="J2369" s="14">
        <v>10</v>
      </c>
      <c r="K2369" s="15" t="str">
        <f>HYPERLINK("http://twitter.com/download/android","Twitter for Android")</f>
        <v>Twitter for Android</v>
      </c>
      <c r="L2369" s="14">
        <v>596</v>
      </c>
      <c r="M2369" s="14">
        <v>273</v>
      </c>
      <c r="N2369" s="14">
        <v>2</v>
      </c>
      <c r="O2369" s="16"/>
      <c r="P2369" s="6">
        <v>40849.652199074073</v>
      </c>
      <c r="Q2369" s="12" t="s">
        <v>8543</v>
      </c>
      <c r="R2369" s="17" t="s">
        <v>8544</v>
      </c>
      <c r="S2369" s="11"/>
      <c r="T2369" s="11"/>
      <c r="U2369" s="10" t="str">
        <f>HYPERLINK("https://pbs.twimg.com/profile_images/936916690918457344/nox0y83i.jpg","View")</f>
        <v>View</v>
      </c>
    </row>
    <row r="2370" spans="1:21" ht="51">
      <c r="A2370" s="6">
        <v>43438.463078703702</v>
      </c>
      <c r="B2370" s="7" t="str">
        <f>HYPERLINK("https://twitter.com/ldpsincomplejos","@ldpsincomplejos")</f>
        <v>@ldpsincomplejos</v>
      </c>
      <c r="C2370" s="8" t="s">
        <v>8545</v>
      </c>
      <c r="D2370" s="9" t="s">
        <v>8546</v>
      </c>
      <c r="E2370" s="10" t="str">
        <f>HYPERLINK("https://twitter.com/ldpsincomplejos/status/1069895795925749760","1069895795925749760")</f>
        <v>1069895795925749760</v>
      </c>
      <c r="F2370" s="11"/>
      <c r="G2370" s="11"/>
      <c r="H2370" s="11"/>
      <c r="I2370" s="14">
        <v>175</v>
      </c>
      <c r="J2370" s="14">
        <v>407</v>
      </c>
      <c r="K2370" s="15" t="str">
        <f>HYPERLINK("http://twitter.com","Twitter Web Client")</f>
        <v>Twitter Web Client</v>
      </c>
      <c r="L2370" s="14">
        <v>110879</v>
      </c>
      <c r="M2370" s="14">
        <v>2642</v>
      </c>
      <c r="N2370" s="14">
        <v>1077</v>
      </c>
      <c r="O2370" s="19" t="s">
        <v>42</v>
      </c>
      <c r="P2370" s="6">
        <v>40566.777245370373</v>
      </c>
      <c r="Q2370" s="12" t="s">
        <v>29</v>
      </c>
      <c r="R2370" s="17" t="s">
        <v>8547</v>
      </c>
      <c r="S2370" s="13" t="s">
        <v>8548</v>
      </c>
      <c r="T2370" s="11"/>
      <c r="U2370" s="10" t="str">
        <f>HYPERLINK("https://pbs.twimg.com/profile_images/1007677959245828097/i-2yAFvg.jpg","View")</f>
        <v>View</v>
      </c>
    </row>
    <row r="2371" spans="1:21" ht="40.799999999999997">
      <c r="A2371" s="6">
        <v>43438.461782407408</v>
      </c>
      <c r="B2371" s="7" t="str">
        <f>HYPERLINK("https://twitter.com/La_Cerca","@La_Cerca")</f>
        <v>@La_Cerca</v>
      </c>
      <c r="C2371" s="8" t="s">
        <v>2743</v>
      </c>
      <c r="D2371" s="9" t="s">
        <v>7731</v>
      </c>
      <c r="E2371" s="10" t="str">
        <f>HYPERLINK("https://twitter.com/La_Cerca/status/1069895328202133504","1069895328202133504")</f>
        <v>1069895328202133504</v>
      </c>
      <c r="F2371" s="13" t="s">
        <v>7732</v>
      </c>
      <c r="G2371" s="11"/>
      <c r="H2371" s="11"/>
      <c r="I2371" s="14">
        <v>0</v>
      </c>
      <c r="J2371" s="14">
        <v>0</v>
      </c>
      <c r="K2371" s="15" t="str">
        <f>HYPERLINK("http://www.lacerca.com","La Cerca")</f>
        <v>La Cerca</v>
      </c>
      <c r="L2371" s="14">
        <v>18980</v>
      </c>
      <c r="M2371" s="14">
        <v>4970</v>
      </c>
      <c r="N2371" s="14">
        <v>337</v>
      </c>
      <c r="O2371" s="19" t="s">
        <v>42</v>
      </c>
      <c r="P2371" s="6">
        <v>40007.429652777777</v>
      </c>
      <c r="Q2371" s="12" t="s">
        <v>2255</v>
      </c>
      <c r="R2371" s="17" t="s">
        <v>2746</v>
      </c>
      <c r="S2371" s="13" t="s">
        <v>2747</v>
      </c>
      <c r="T2371" s="11"/>
      <c r="U2371" s="10" t="str">
        <f>HYPERLINK("https://pbs.twimg.com/profile_images/1046758213843111937/MFsiNfy0.jpg","View")</f>
        <v>View</v>
      </c>
    </row>
    <row r="2372" spans="1:21" ht="51">
      <c r="A2372" s="6">
        <v>43438.4609375</v>
      </c>
      <c r="B2372" s="7" t="str">
        <f>HYPERLINK("https://twitter.com/RatioVero","@RatioVero")</f>
        <v>@RatioVero</v>
      </c>
      <c r="C2372" s="8" t="s">
        <v>7284</v>
      </c>
      <c r="D2372" s="9" t="s">
        <v>7733</v>
      </c>
      <c r="E2372" s="10" t="str">
        <f>HYPERLINK("https://twitter.com/RatioVero/status/1069895023716696069","1069895023716696069")</f>
        <v>1069895023716696069</v>
      </c>
      <c r="F2372" s="11"/>
      <c r="G2372" s="11"/>
      <c r="H2372" s="11"/>
      <c r="I2372" s="14">
        <v>0</v>
      </c>
      <c r="J2372" s="14">
        <v>1</v>
      </c>
      <c r="K2372" s="15" t="str">
        <f>HYPERLINK("http://twitter.com/download/android","Twitter for Android")</f>
        <v>Twitter for Android</v>
      </c>
      <c r="L2372" s="14">
        <v>512</v>
      </c>
      <c r="M2372" s="14">
        <v>496</v>
      </c>
      <c r="N2372" s="14">
        <v>2</v>
      </c>
      <c r="O2372" s="16"/>
      <c r="P2372" s="6">
        <v>43018.911099537036</v>
      </c>
      <c r="Q2372" s="12" t="s">
        <v>231</v>
      </c>
      <c r="R2372" s="17" t="s">
        <v>7287</v>
      </c>
      <c r="S2372" s="11"/>
      <c r="T2372" s="11"/>
      <c r="U2372" s="10" t="str">
        <f>HYPERLINK("https://pbs.twimg.com/profile_images/1054812851641180161/hpRisvAE.jpg","View")</f>
        <v>View</v>
      </c>
    </row>
    <row r="2373" spans="1:21" ht="40.799999999999997">
      <c r="A2373" s="6">
        <v>43438.459247685183</v>
      </c>
      <c r="B2373" s="7" t="str">
        <f>HYPERLINK("https://twitter.com/alikense","@alikense")</f>
        <v>@alikense</v>
      </c>
      <c r="C2373" s="8" t="s">
        <v>8549</v>
      </c>
      <c r="D2373" s="9" t="s">
        <v>8550</v>
      </c>
      <c r="E2373" s="10" t="str">
        <f>HYPERLINK("https://twitter.com/alikense/status/1069894409427275776","1069894409427275776")</f>
        <v>1069894409427275776</v>
      </c>
      <c r="F2373" s="11"/>
      <c r="G2373" s="11"/>
      <c r="H2373" s="11"/>
      <c r="I2373" s="14">
        <v>5</v>
      </c>
      <c r="J2373" s="14">
        <v>8</v>
      </c>
      <c r="K2373" s="15" t="str">
        <f>HYPERLINK("https://mobile.twitter.com","Twitter Lite")</f>
        <v>Twitter Lite</v>
      </c>
      <c r="L2373" s="14">
        <v>930</v>
      </c>
      <c r="M2373" s="14">
        <v>606</v>
      </c>
      <c r="N2373" s="14">
        <v>43</v>
      </c>
      <c r="O2373" s="16"/>
      <c r="P2373" s="6">
        <v>40954.561539351853</v>
      </c>
      <c r="Q2373" s="12" t="s">
        <v>8551</v>
      </c>
      <c r="R2373" s="17" t="s">
        <v>8552</v>
      </c>
      <c r="S2373" s="11"/>
      <c r="T2373" s="11"/>
      <c r="U2373" s="10" t="str">
        <f>HYPERLINK("https://pbs.twimg.com/profile_images/504582124154793984/ZX5kt5GH.jpeg","View")</f>
        <v>View</v>
      </c>
    </row>
    <row r="2374" spans="1:21" ht="51">
      <c r="A2374" s="6">
        <v>43438.454224537039</v>
      </c>
      <c r="B2374" s="7" t="str">
        <f>HYPERLINK("https://twitter.com/cssabadell","@cssabadell")</f>
        <v>@cssabadell</v>
      </c>
      <c r="C2374" s="8" t="s">
        <v>7738</v>
      </c>
      <c r="D2374" s="9" t="s">
        <v>7739</v>
      </c>
      <c r="E2374" s="10" t="str">
        <f>HYPERLINK("https://twitter.com/cssabadell/status/1069892588013002752","1069892588013002752")</f>
        <v>1069892588013002752</v>
      </c>
      <c r="F2374" s="11"/>
      <c r="G2374" s="13" t="s">
        <v>7740</v>
      </c>
      <c r="H2374" s="11"/>
      <c r="I2374" s="14">
        <v>9</v>
      </c>
      <c r="J2374" s="14">
        <v>11</v>
      </c>
      <c r="K2374" s="15" t="str">
        <f t="shared" ref="K2374:K2375" si="468">HYPERLINK("http://twitter.com/download/android","Twitter for Android")</f>
        <v>Twitter for Android</v>
      </c>
      <c r="L2374" s="14">
        <v>3124</v>
      </c>
      <c r="M2374" s="14">
        <v>2527</v>
      </c>
      <c r="N2374" s="14">
        <v>72</v>
      </c>
      <c r="O2374" s="16"/>
      <c r="P2374" s="6">
        <v>40633.689166666663</v>
      </c>
      <c r="Q2374" s="12" t="s">
        <v>7744</v>
      </c>
      <c r="R2374" s="17" t="s">
        <v>7745</v>
      </c>
      <c r="S2374" s="13" t="s">
        <v>7747</v>
      </c>
      <c r="T2374" s="11"/>
      <c r="U2374" s="10" t="str">
        <f>HYPERLINK("https://pbs.twimg.com/profile_images/911151710294413312/ZZ3OW2_6.jpg","View")</f>
        <v>View</v>
      </c>
    </row>
    <row r="2375" spans="1:21" ht="40.799999999999997">
      <c r="A2375" s="6">
        <v>43438.45417824074</v>
      </c>
      <c r="B2375" s="7" t="str">
        <f>HYPERLINK("https://twitter.com/Gata1_C","@Gata1_C")</f>
        <v>@Gata1_C</v>
      </c>
      <c r="C2375" s="8" t="s">
        <v>246</v>
      </c>
      <c r="D2375" s="9" t="s">
        <v>7751</v>
      </c>
      <c r="E2375" s="10" t="str">
        <f>HYPERLINK("https://twitter.com/Gata1_C/status/1069892572422815744","1069892572422815744")</f>
        <v>1069892572422815744</v>
      </c>
      <c r="F2375" s="11"/>
      <c r="G2375" s="13" t="s">
        <v>7752</v>
      </c>
      <c r="H2375" s="11"/>
      <c r="I2375" s="14">
        <v>0</v>
      </c>
      <c r="J2375" s="14">
        <v>2</v>
      </c>
      <c r="K2375" s="15" t="str">
        <f t="shared" si="468"/>
        <v>Twitter for Android</v>
      </c>
      <c r="L2375" s="14">
        <v>3876</v>
      </c>
      <c r="M2375" s="14">
        <v>5000</v>
      </c>
      <c r="N2375" s="14">
        <v>8</v>
      </c>
      <c r="O2375" s="16"/>
      <c r="P2375" s="6">
        <v>41393.042939814812</v>
      </c>
      <c r="Q2375" s="12" t="s">
        <v>137</v>
      </c>
      <c r="R2375" s="17" t="s">
        <v>252</v>
      </c>
      <c r="S2375" s="11"/>
      <c r="T2375" s="11"/>
      <c r="U2375" s="10" t="str">
        <f>HYPERLINK("https://pbs.twimg.com/profile_images/1064357848287715333/GYr5W4W2.jpg","View")</f>
        <v>View</v>
      </c>
    </row>
    <row r="2376" spans="1:21" ht="30.6">
      <c r="A2376" s="6">
        <v>43438.452835648146</v>
      </c>
      <c r="B2376" s="7" t="str">
        <f>HYPERLINK("https://twitter.com/dddvvvddd","@dddvvvddd")</f>
        <v>@dddvvvddd</v>
      </c>
      <c r="C2376" s="8" t="s">
        <v>7755</v>
      </c>
      <c r="D2376" s="9" t="s">
        <v>7756</v>
      </c>
      <c r="E2376" s="10" t="str">
        <f>HYPERLINK("https://twitter.com/dddvvvddd/status/1069892085950672896","1069892085950672896")</f>
        <v>1069892085950672896</v>
      </c>
      <c r="F2376" s="11"/>
      <c r="G2376" s="11"/>
      <c r="H2376" s="11"/>
      <c r="I2376" s="14">
        <v>0</v>
      </c>
      <c r="J2376" s="14">
        <v>0</v>
      </c>
      <c r="K2376" s="15" t="str">
        <f>HYPERLINK("http://twitter.com/download/iphone","Twitter for iPhone")</f>
        <v>Twitter for iPhone</v>
      </c>
      <c r="L2376" s="14">
        <v>668</v>
      </c>
      <c r="M2376" s="14">
        <v>685</v>
      </c>
      <c r="N2376" s="14">
        <v>18</v>
      </c>
      <c r="O2376" s="16"/>
      <c r="P2376" s="6">
        <v>40623.560185185182</v>
      </c>
      <c r="Q2376" s="11"/>
      <c r="R2376" s="17" t="s">
        <v>7757</v>
      </c>
      <c r="S2376" s="11"/>
      <c r="T2376" s="11"/>
      <c r="U2376" s="10" t="str">
        <f>HYPERLINK("https://pbs.twimg.com/profile_images/762405343607476228/6VLXRYWn.jpg","View")</f>
        <v>View</v>
      </c>
    </row>
    <row r="2377" spans="1:21" ht="40.799999999999997">
      <c r="A2377" s="6">
        <v>43438.452430555553</v>
      </c>
      <c r="B2377" s="7" t="str">
        <f>HYPERLINK("https://twitter.com/ferrerodu","@ferrerodu")</f>
        <v>@ferrerodu</v>
      </c>
      <c r="C2377" s="8" t="s">
        <v>2093</v>
      </c>
      <c r="D2377" s="9" t="s">
        <v>7761</v>
      </c>
      <c r="E2377" s="10" t="str">
        <f>HYPERLINK("https://twitter.com/ferrerodu/status/1069891939984646146","1069891939984646146")</f>
        <v>1069891939984646146</v>
      </c>
      <c r="F2377" s="11"/>
      <c r="G2377" s="13" t="s">
        <v>7762</v>
      </c>
      <c r="H2377" s="11"/>
      <c r="I2377" s="14">
        <v>3</v>
      </c>
      <c r="J2377" s="14">
        <v>4</v>
      </c>
      <c r="K2377" s="15" t="str">
        <f t="shared" ref="K2377:K2378" si="469">HYPERLINK("http://twitter.com/download/android","Twitter for Android")</f>
        <v>Twitter for Android</v>
      </c>
      <c r="L2377" s="14">
        <v>3251</v>
      </c>
      <c r="M2377" s="14">
        <v>4994</v>
      </c>
      <c r="N2377" s="14">
        <v>48</v>
      </c>
      <c r="O2377" s="16"/>
      <c r="P2377" s="6">
        <v>42514.8434375</v>
      </c>
      <c r="Q2377" s="11"/>
      <c r="R2377" s="17" t="s">
        <v>2098</v>
      </c>
      <c r="S2377" s="11"/>
      <c r="T2377" s="11"/>
      <c r="U2377" s="10" t="str">
        <f>HYPERLINK("https://pbs.twimg.com/profile_images/937373246110031872/Ag-PfK82.jpg","View")</f>
        <v>View</v>
      </c>
    </row>
    <row r="2378" spans="1:21" ht="51">
      <c r="A2378" s="6">
        <v>43438.450312500005</v>
      </c>
      <c r="B2378" s="7" t="str">
        <f>HYPERLINK("https://twitter.com/vigoutiel","@vigoutiel")</f>
        <v>@vigoutiel</v>
      </c>
      <c r="C2378" s="8" t="s">
        <v>7763</v>
      </c>
      <c r="D2378" s="9" t="s">
        <v>7764</v>
      </c>
      <c r="E2378" s="10" t="str">
        <f>HYPERLINK("https://twitter.com/vigoutiel/status/1069891172984852481","1069891172984852481")</f>
        <v>1069891172984852481</v>
      </c>
      <c r="F2378" s="11"/>
      <c r="G2378" s="11"/>
      <c r="H2378" s="11"/>
      <c r="I2378" s="14">
        <v>0</v>
      </c>
      <c r="J2378" s="14">
        <v>6</v>
      </c>
      <c r="K2378" s="15" t="str">
        <f t="shared" si="469"/>
        <v>Twitter for Android</v>
      </c>
      <c r="L2378" s="14">
        <v>566</v>
      </c>
      <c r="M2378" s="14">
        <v>568</v>
      </c>
      <c r="N2378" s="14">
        <v>4</v>
      </c>
      <c r="O2378" s="16"/>
      <c r="P2378" s="6">
        <v>40525.72216435185</v>
      </c>
      <c r="Q2378" s="11"/>
      <c r="R2378" s="17" t="s">
        <v>7765</v>
      </c>
      <c r="S2378" s="11"/>
      <c r="T2378" s="11"/>
      <c r="U2378" s="10" t="str">
        <f>HYPERLINK("https://pbs.twimg.com/profile_images/900998683344424961/zkbnNmeO.jpg","View")</f>
        <v>View</v>
      </c>
    </row>
    <row r="2379" spans="1:21" ht="112.2">
      <c r="A2379" s="6">
        <v>43438.448819444442</v>
      </c>
      <c r="B2379" s="7" t="str">
        <f>HYPERLINK("https://twitter.com/joseisasa","@joseisasa")</f>
        <v>@joseisasa</v>
      </c>
      <c r="C2379" s="8" t="s">
        <v>7767</v>
      </c>
      <c r="D2379" s="9" t="s">
        <v>7768</v>
      </c>
      <c r="E2379" s="10" t="str">
        <f>HYPERLINK("https://twitter.com/joseisasa/status/1069890631642664960","1069890631642664960")</f>
        <v>1069890631642664960</v>
      </c>
      <c r="F2379" s="12" t="s">
        <v>6915</v>
      </c>
      <c r="G2379" s="11"/>
      <c r="H2379" s="11"/>
      <c r="I2379" s="14">
        <v>0</v>
      </c>
      <c r="J2379" s="14">
        <v>1</v>
      </c>
      <c r="K2379" s="15" t="str">
        <f>HYPERLINK("http://twitter.com/download/iphone","Twitter for iPhone")</f>
        <v>Twitter for iPhone</v>
      </c>
      <c r="L2379" s="14">
        <v>3658</v>
      </c>
      <c r="M2379" s="14">
        <v>1958</v>
      </c>
      <c r="N2379" s="14">
        <v>114</v>
      </c>
      <c r="O2379" s="16"/>
      <c r="P2379" s="6">
        <v>39475.798009259262</v>
      </c>
      <c r="Q2379" s="12" t="s">
        <v>29</v>
      </c>
      <c r="R2379" s="17" t="s">
        <v>7769</v>
      </c>
      <c r="S2379" s="13" t="s">
        <v>7770</v>
      </c>
      <c r="T2379" s="11"/>
      <c r="U2379" s="10" t="str">
        <f>HYPERLINK("https://pbs.twimg.com/profile_images/566555865961201665/dkgYRQwV.jpeg","View")</f>
        <v>View</v>
      </c>
    </row>
    <row r="2380" spans="1:21" ht="20.399999999999999">
      <c r="A2380" s="6">
        <v>43438.44809027778</v>
      </c>
      <c r="B2380" s="7" t="str">
        <f>HYPERLINK("https://twitter.com/mccluskey2001","@mccluskey2001")</f>
        <v>@mccluskey2001</v>
      </c>
      <c r="C2380" s="8" t="s">
        <v>8553</v>
      </c>
      <c r="D2380" s="9" t="s">
        <v>8554</v>
      </c>
      <c r="E2380" s="10" t="str">
        <f>HYPERLINK("https://twitter.com/mccluskey2001/status/1069890366428626945","1069890366428626945")</f>
        <v>1069890366428626945</v>
      </c>
      <c r="F2380" s="11"/>
      <c r="G2380" s="11"/>
      <c r="H2380" s="11"/>
      <c r="I2380" s="14">
        <v>0</v>
      </c>
      <c r="J2380" s="14">
        <v>1</v>
      </c>
      <c r="K2380" s="15" t="str">
        <f t="shared" ref="K2380:K2383" si="470">HYPERLINK("http://twitter.com","Twitter Web Client")</f>
        <v>Twitter Web Client</v>
      </c>
      <c r="L2380" s="14">
        <v>288</v>
      </c>
      <c r="M2380" s="14">
        <v>614</v>
      </c>
      <c r="N2380" s="14">
        <v>3</v>
      </c>
      <c r="O2380" s="16"/>
      <c r="P2380" s="6">
        <v>41588.818645833337</v>
      </c>
      <c r="Q2380" s="12" t="s">
        <v>8555</v>
      </c>
      <c r="R2380" s="18"/>
      <c r="S2380" s="11"/>
      <c r="T2380" s="11"/>
      <c r="U2380" s="10" t="str">
        <f>HYPERLINK("https://pbs.twimg.com/profile_images/1057193747711123456/LQx0nUxW.jpg","View")</f>
        <v>View</v>
      </c>
    </row>
    <row r="2381" spans="1:21" ht="51">
      <c r="A2381" s="6">
        <v>43438.44699074074</v>
      </c>
      <c r="B2381" s="7" t="str">
        <f>HYPERLINK("https://twitter.com/Fransor528","@Fransor528")</f>
        <v>@Fransor528</v>
      </c>
      <c r="C2381" s="8" t="s">
        <v>3725</v>
      </c>
      <c r="D2381" s="9" t="s">
        <v>8556</v>
      </c>
      <c r="E2381" s="10" t="str">
        <f>HYPERLINK("https://twitter.com/Fransor528/status/1069889969005752320","1069889969005752320")</f>
        <v>1069889969005752320</v>
      </c>
      <c r="F2381" s="11"/>
      <c r="G2381" s="11"/>
      <c r="H2381" s="11"/>
      <c r="I2381" s="14">
        <v>12</v>
      </c>
      <c r="J2381" s="14">
        <v>17</v>
      </c>
      <c r="K2381" s="15" t="str">
        <f t="shared" si="470"/>
        <v>Twitter Web Client</v>
      </c>
      <c r="L2381" s="14">
        <v>3279</v>
      </c>
      <c r="M2381" s="14">
        <v>3296</v>
      </c>
      <c r="N2381" s="14">
        <v>25</v>
      </c>
      <c r="O2381" s="16"/>
      <c r="P2381" s="6">
        <v>41968.44054398148</v>
      </c>
      <c r="Q2381" s="12" t="s">
        <v>8557</v>
      </c>
      <c r="R2381" s="17" t="s">
        <v>8558</v>
      </c>
      <c r="S2381" s="13" t="s">
        <v>8559</v>
      </c>
      <c r="T2381" s="11"/>
      <c r="U2381" s="10" t="str">
        <f>HYPERLINK("https://pbs.twimg.com/profile_images/683974247488851968/Gj00PuxS.jpg","View")</f>
        <v>View</v>
      </c>
    </row>
    <row r="2382" spans="1:21" ht="71.400000000000006">
      <c r="A2382" s="6">
        <v>43438.446886574078</v>
      </c>
      <c r="B2382" s="7" t="str">
        <f>HYPERLINK("https://twitter.com/ABJ6691","@ABJ6691")</f>
        <v>@ABJ6691</v>
      </c>
      <c r="C2382" s="8" t="s">
        <v>8400</v>
      </c>
      <c r="D2382" s="9" t="s">
        <v>8560</v>
      </c>
      <c r="E2382" s="10" t="str">
        <f>HYPERLINK("https://twitter.com/ABJ6691/status/1069889929625391104","1069889929625391104")</f>
        <v>1069889929625391104</v>
      </c>
      <c r="F2382" s="12" t="s">
        <v>6915</v>
      </c>
      <c r="G2382" s="11"/>
      <c r="H2382" s="11"/>
      <c r="I2382" s="14">
        <v>1</v>
      </c>
      <c r="J2382" s="14">
        <v>1</v>
      </c>
      <c r="K2382" s="15" t="str">
        <f t="shared" si="470"/>
        <v>Twitter Web Client</v>
      </c>
      <c r="L2382" s="14">
        <v>1190</v>
      </c>
      <c r="M2382" s="14">
        <v>1037</v>
      </c>
      <c r="N2382" s="14">
        <v>13</v>
      </c>
      <c r="O2382" s="16"/>
      <c r="P2382" s="6">
        <v>41788.552662037036</v>
      </c>
      <c r="Q2382" s="11"/>
      <c r="R2382" s="17" t="s">
        <v>8402</v>
      </c>
      <c r="S2382" s="11"/>
      <c r="T2382" s="11"/>
      <c r="U2382" s="10" t="str">
        <f>HYPERLINK("https://pbs.twimg.com/profile_images/998485520349970432/4qWdVkQL.jpg","View")</f>
        <v>View</v>
      </c>
    </row>
    <row r="2383" spans="1:21" ht="91.8">
      <c r="A2383" s="6">
        <v>43438.444155092591</v>
      </c>
      <c r="B2383" s="7" t="str">
        <f>HYPERLINK("https://twitter.com/gerardotc","@gerardotc")</f>
        <v>@gerardotc</v>
      </c>
      <c r="C2383" s="8" t="s">
        <v>7772</v>
      </c>
      <c r="D2383" s="9" t="s">
        <v>7773</v>
      </c>
      <c r="E2383" s="10" t="str">
        <f>HYPERLINK("https://twitter.com/gerardotc/status/1069888939765448704","1069888939765448704")</f>
        <v>1069888939765448704</v>
      </c>
      <c r="F2383" s="12" t="s">
        <v>6915</v>
      </c>
      <c r="G2383" s="11"/>
      <c r="H2383" s="11"/>
      <c r="I2383" s="14">
        <v>8739</v>
      </c>
      <c r="J2383" s="14">
        <v>11361</v>
      </c>
      <c r="K2383" s="15" t="str">
        <f t="shared" si="470"/>
        <v>Twitter Web Client</v>
      </c>
      <c r="L2383" s="14">
        <v>491880</v>
      </c>
      <c r="M2383" s="14">
        <v>3449</v>
      </c>
      <c r="N2383" s="14">
        <v>3504</v>
      </c>
      <c r="O2383" s="16"/>
      <c r="P2383" s="6">
        <v>39859.601030092592</v>
      </c>
      <c r="Q2383" s="12" t="s">
        <v>3374</v>
      </c>
      <c r="R2383" s="17" t="s">
        <v>7775</v>
      </c>
      <c r="S2383" s="13" t="s">
        <v>7776</v>
      </c>
      <c r="T2383" s="11"/>
      <c r="U2383" s="10" t="str">
        <f>HYPERLINK("https://pbs.twimg.com/profile_images/3723646189/33167eea63d6034108a11f83b1136bce.jpeg","View")</f>
        <v>View</v>
      </c>
    </row>
    <row r="2384" spans="1:21" ht="81.599999999999994">
      <c r="A2384" s="6">
        <v>43438.443796296298</v>
      </c>
      <c r="B2384" s="7" t="str">
        <f>HYPERLINK("https://twitter.com/javimadronal","@javimadronal")</f>
        <v>@javimadronal</v>
      </c>
      <c r="C2384" s="8" t="s">
        <v>6831</v>
      </c>
      <c r="D2384" s="9" t="s">
        <v>7777</v>
      </c>
      <c r="E2384" s="10" t="str">
        <f>HYPERLINK("https://twitter.com/javimadronal/status/1069888811780444160","1069888811780444160")</f>
        <v>1069888811780444160</v>
      </c>
      <c r="F2384" s="13" t="s">
        <v>7778</v>
      </c>
      <c r="G2384" s="11"/>
      <c r="H2384" s="11"/>
      <c r="I2384" s="14">
        <v>0</v>
      </c>
      <c r="J2384" s="14">
        <v>1</v>
      </c>
      <c r="K2384" s="15" t="str">
        <f>HYPERLINK("http://twitter.com/download/android","Twitter for Android")</f>
        <v>Twitter for Android</v>
      </c>
      <c r="L2384" s="14">
        <v>95</v>
      </c>
      <c r="M2384" s="14">
        <v>376</v>
      </c>
      <c r="N2384" s="14">
        <v>1</v>
      </c>
      <c r="O2384" s="16"/>
      <c r="P2384" s="6">
        <v>41856.755555555559</v>
      </c>
      <c r="Q2384" s="11"/>
      <c r="R2384" s="17" t="s">
        <v>6833</v>
      </c>
      <c r="S2384" s="13" t="s">
        <v>6834</v>
      </c>
      <c r="T2384" s="11"/>
      <c r="U2384" s="10" t="str">
        <f>HYPERLINK("https://pbs.twimg.com/profile_images/501064687040331776/MDyWsf7W.jpeg","View")</f>
        <v>View</v>
      </c>
    </row>
    <row r="2385" spans="1:21" ht="51">
      <c r="A2385" s="6">
        <v>43438.443043981482</v>
      </c>
      <c r="B2385" s="7" t="str">
        <f>HYPERLINK("https://twitter.com/MichelM2000","@MichelM2000")</f>
        <v>@MichelM2000</v>
      </c>
      <c r="C2385" s="8" t="s">
        <v>6548</v>
      </c>
      <c r="D2385" s="9" t="s">
        <v>7785</v>
      </c>
      <c r="E2385" s="10" t="str">
        <f>HYPERLINK("https://twitter.com/MichelM2000/status/1069888537779146752","1069888537779146752")</f>
        <v>1069888537779146752</v>
      </c>
      <c r="F2385" s="11"/>
      <c r="G2385" s="11"/>
      <c r="H2385" s="11"/>
      <c r="I2385" s="14">
        <v>0</v>
      </c>
      <c r="J2385" s="14">
        <v>0</v>
      </c>
      <c r="K2385" s="15" t="str">
        <f>HYPERLINK("https://mobile.twitter.com","Twitter Lite")</f>
        <v>Twitter Lite</v>
      </c>
      <c r="L2385" s="14">
        <v>207</v>
      </c>
      <c r="M2385" s="14">
        <v>198</v>
      </c>
      <c r="N2385" s="14">
        <v>9</v>
      </c>
      <c r="O2385" s="16"/>
      <c r="P2385" s="6">
        <v>41094.960752314815</v>
      </c>
      <c r="Q2385" s="12" t="s">
        <v>6550</v>
      </c>
      <c r="R2385" s="17" t="s">
        <v>6551</v>
      </c>
      <c r="S2385" s="11"/>
      <c r="T2385" s="11"/>
      <c r="U2385" s="10" t="str">
        <f>HYPERLINK("https://pbs.twimg.com/profile_images/709080114433277952/GIU6X7VT.jpg","View")</f>
        <v>View</v>
      </c>
    </row>
    <row r="2386" spans="1:21" ht="51">
      <c r="A2386" s="6">
        <v>43438.439965277779</v>
      </c>
      <c r="B2386" s="7" t="str">
        <f>HYPERLINK("https://twitter.com/pipio44","@pipio44")</f>
        <v>@pipio44</v>
      </c>
      <c r="C2386" s="8" t="s">
        <v>4942</v>
      </c>
      <c r="D2386" s="9" t="s">
        <v>7790</v>
      </c>
      <c r="E2386" s="10" t="str">
        <f>HYPERLINK("https://twitter.com/pipio44/status/1069887423298093056","1069887423298093056")</f>
        <v>1069887423298093056</v>
      </c>
      <c r="F2386" s="11"/>
      <c r="G2386" s="11"/>
      <c r="H2386" s="11"/>
      <c r="I2386" s="14">
        <v>8</v>
      </c>
      <c r="J2386" s="14">
        <v>4</v>
      </c>
      <c r="K2386" s="15" t="str">
        <f>HYPERLINK("http://twitter.com/download/iphone","Twitter for iPhone")</f>
        <v>Twitter for iPhone</v>
      </c>
      <c r="L2386" s="14">
        <v>744</v>
      </c>
      <c r="M2386" s="14">
        <v>540</v>
      </c>
      <c r="N2386" s="14">
        <v>28</v>
      </c>
      <c r="O2386" s="16"/>
      <c r="P2386" s="6">
        <v>40771.038275462961</v>
      </c>
      <c r="Q2386" s="11"/>
      <c r="R2386" s="17" t="s">
        <v>4946</v>
      </c>
      <c r="S2386" s="11"/>
      <c r="T2386" s="11"/>
      <c r="U2386" s="10" t="str">
        <f>HYPERLINK("https://pbs.twimg.com/profile_images/1052141810347364353/8JWxa8CG.jpg","View")</f>
        <v>View</v>
      </c>
    </row>
    <row r="2387" spans="1:21" ht="30.6">
      <c r="A2387" s="6">
        <v>43438.439814814818</v>
      </c>
      <c r="B2387" s="7" t="str">
        <f>HYPERLINK("https://twitter.com/CastrVicente","@CastrVicente")</f>
        <v>@CastrVicente</v>
      </c>
      <c r="C2387" s="8" t="s">
        <v>8561</v>
      </c>
      <c r="D2387" s="9" t="s">
        <v>8562</v>
      </c>
      <c r="E2387" s="10" t="str">
        <f>HYPERLINK("https://twitter.com/CastrVicente/status/1069887367702593536","1069887367702593536")</f>
        <v>1069887367702593536</v>
      </c>
      <c r="F2387" s="13" t="s">
        <v>8563</v>
      </c>
      <c r="G2387" s="13" t="s">
        <v>8564</v>
      </c>
      <c r="H2387" s="11"/>
      <c r="I2387" s="14">
        <v>0</v>
      </c>
      <c r="J2387" s="14">
        <v>0</v>
      </c>
      <c r="K2387" s="15" t="str">
        <f t="shared" ref="K2387:K2388" si="471">HYPERLINK("http://twitter.com","Twitter Web Client")</f>
        <v>Twitter Web Client</v>
      </c>
      <c r="L2387" s="14">
        <v>1569</v>
      </c>
      <c r="M2387" s="14">
        <v>1474</v>
      </c>
      <c r="N2387" s="14">
        <v>83</v>
      </c>
      <c r="O2387" s="16"/>
      <c r="P2387" s="6">
        <v>40682.790925925925</v>
      </c>
      <c r="Q2387" s="12" t="s">
        <v>8565</v>
      </c>
      <c r="R2387" s="17" t="s">
        <v>8566</v>
      </c>
      <c r="S2387" s="13" t="s">
        <v>8567</v>
      </c>
      <c r="T2387" s="11"/>
      <c r="U2387" s="10" t="str">
        <f>HYPERLINK("https://pbs.twimg.com/profile_images/935107063239364608/NPDVe0Fy.jpg","View")</f>
        <v>View</v>
      </c>
    </row>
    <row r="2388" spans="1:21" ht="61.2">
      <c r="A2388" s="6">
        <v>43438.438900462963</v>
      </c>
      <c r="B2388" s="7" t="str">
        <f>HYPERLINK("https://twitter.com/OrtizPrez","@OrtizPrez")</f>
        <v>@OrtizPrez</v>
      </c>
      <c r="C2388" s="8" t="s">
        <v>8568</v>
      </c>
      <c r="D2388" s="9" t="s">
        <v>8569</v>
      </c>
      <c r="E2388" s="10" t="str">
        <f>HYPERLINK("https://twitter.com/OrtizPrez/status/1069887035375280129","1069887035375280129")</f>
        <v>1069887035375280129</v>
      </c>
      <c r="F2388" s="11"/>
      <c r="G2388" s="11"/>
      <c r="H2388" s="11"/>
      <c r="I2388" s="14">
        <v>0</v>
      </c>
      <c r="J2388" s="14">
        <v>0</v>
      </c>
      <c r="K2388" s="15" t="str">
        <f t="shared" si="471"/>
        <v>Twitter Web Client</v>
      </c>
      <c r="L2388" s="14">
        <v>758</v>
      </c>
      <c r="M2388" s="14">
        <v>909</v>
      </c>
      <c r="N2388" s="14">
        <v>10</v>
      </c>
      <c r="O2388" s="16"/>
      <c r="P2388" s="6">
        <v>40827.555219907408</v>
      </c>
      <c r="Q2388" s="12" t="s">
        <v>137</v>
      </c>
      <c r="R2388" s="17" t="s">
        <v>8570</v>
      </c>
      <c r="S2388" s="11"/>
      <c r="T2388" s="11"/>
      <c r="U2388" s="10" t="str">
        <f>HYPERLINK("https://pbs.twimg.com/profile_images/378800000273502463/dd67849542b55c148c271d885e233633.jpeg","View")</f>
        <v>View</v>
      </c>
    </row>
    <row r="2389" spans="1:21" ht="51">
      <c r="A2389" s="6">
        <v>43438.438437500001</v>
      </c>
      <c r="B2389" s="7" t="str">
        <f>HYPERLINK("https://twitter.com/miquinta1","@miquinta1")</f>
        <v>@miquinta1</v>
      </c>
      <c r="C2389" s="8" t="s">
        <v>8366</v>
      </c>
      <c r="D2389" s="9" t="s">
        <v>8571</v>
      </c>
      <c r="E2389" s="10" t="str">
        <f>HYPERLINK("https://twitter.com/miquinta1/status/1069886869704531968","1069886869704531968")</f>
        <v>1069886869704531968</v>
      </c>
      <c r="F2389" s="11"/>
      <c r="G2389" s="11"/>
      <c r="H2389" s="11"/>
      <c r="I2389" s="14">
        <v>4</v>
      </c>
      <c r="J2389" s="14">
        <v>4</v>
      </c>
      <c r="K2389" s="15" t="str">
        <f>HYPERLINK("http://twitter.com/download/iphone","Twitter for iPhone")</f>
        <v>Twitter for iPhone</v>
      </c>
      <c r="L2389" s="14">
        <v>1986</v>
      </c>
      <c r="M2389" s="14">
        <v>427</v>
      </c>
      <c r="N2389" s="14">
        <v>18</v>
      </c>
      <c r="O2389" s="16"/>
      <c r="P2389" s="6">
        <v>40741.774583333332</v>
      </c>
      <c r="Q2389" s="11"/>
      <c r="R2389" s="17" t="s">
        <v>8369</v>
      </c>
      <c r="S2389" s="11"/>
      <c r="T2389" s="11"/>
      <c r="U2389" s="10" t="str">
        <f>HYPERLINK("https://pbs.twimg.com/profile_images/447761040848478208/67FQNE4C.jpeg","View")</f>
        <v>View</v>
      </c>
    </row>
    <row r="2390" spans="1:21" ht="51">
      <c r="A2390" s="6">
        <v>43438.438020833331</v>
      </c>
      <c r="B2390" s="7" t="str">
        <f>HYPERLINK("https://twitter.com/EvaDuranRamos","@EvaDuranRamos")</f>
        <v>@EvaDuranRamos</v>
      </c>
      <c r="C2390" s="8" t="s">
        <v>7792</v>
      </c>
      <c r="D2390" s="9" t="s">
        <v>7793</v>
      </c>
      <c r="E2390" s="10" t="str">
        <f>HYPERLINK("https://twitter.com/EvaDuranRamos/status/1069886716310372353","1069886716310372353")</f>
        <v>1069886716310372353</v>
      </c>
      <c r="F2390" s="13" t="s">
        <v>7794</v>
      </c>
      <c r="G2390" s="11"/>
      <c r="H2390" s="11"/>
      <c r="I2390" s="14">
        <v>2</v>
      </c>
      <c r="J2390" s="14">
        <v>1</v>
      </c>
      <c r="K2390" s="15" t="str">
        <f>HYPERLINK("http://twitter.com/download/android","Twitter for Android")</f>
        <v>Twitter for Android</v>
      </c>
      <c r="L2390" s="14">
        <v>6381</v>
      </c>
      <c r="M2390" s="14">
        <v>5831</v>
      </c>
      <c r="N2390" s="14">
        <v>1115</v>
      </c>
      <c r="O2390" s="16"/>
      <c r="P2390" s="6">
        <v>42417.778761574074</v>
      </c>
      <c r="Q2390" s="11"/>
      <c r="R2390" s="17" t="s">
        <v>7795</v>
      </c>
      <c r="S2390" s="13" t="s">
        <v>7796</v>
      </c>
      <c r="T2390" s="11"/>
      <c r="U2390" s="10" t="str">
        <f>HYPERLINK("https://pbs.twimg.com/profile_images/700013232883429376/BRSP17lG.jpg","View")</f>
        <v>View</v>
      </c>
    </row>
    <row r="2391" spans="1:21" ht="40.799999999999997">
      <c r="A2391" s="6">
        <v>43438.436874999999</v>
      </c>
      <c r="B2391" s="7" t="str">
        <f>HYPERLINK("https://twitter.com/elnacionalcat_e","@elnacionalcat_e")</f>
        <v>@elnacionalcat_e</v>
      </c>
      <c r="C2391" s="8" t="s">
        <v>4541</v>
      </c>
      <c r="D2391" s="9" t="s">
        <v>8572</v>
      </c>
      <c r="E2391" s="10" t="str">
        <f>HYPERLINK("https://twitter.com/elnacionalcat_e/status/1069886301648969729","1069886301648969729")</f>
        <v>1069886301648969729</v>
      </c>
      <c r="F2391" s="13" t="s">
        <v>8573</v>
      </c>
      <c r="G2391" s="11"/>
      <c r="H2391" s="11"/>
      <c r="I2391" s="14">
        <v>0</v>
      </c>
      <c r="J2391" s="14">
        <v>0</v>
      </c>
      <c r="K2391" s="15" t="str">
        <f>HYPERLINK("https://about.twitter.com/products/tweetdeck","TweetDeck")</f>
        <v>TweetDeck</v>
      </c>
      <c r="L2391" s="14">
        <v>5553</v>
      </c>
      <c r="M2391" s="14">
        <v>355</v>
      </c>
      <c r="N2391" s="14">
        <v>169</v>
      </c>
      <c r="O2391" s="16"/>
      <c r="P2391" s="6">
        <v>42247.840567129635</v>
      </c>
      <c r="Q2391" s="12" t="s">
        <v>3665</v>
      </c>
      <c r="R2391" s="17" t="s">
        <v>4545</v>
      </c>
      <c r="S2391" s="13" t="s">
        <v>4546</v>
      </c>
      <c r="T2391" s="11"/>
      <c r="U2391" s="10" t="str">
        <f>HYPERLINK("https://pbs.twimg.com/profile_images/646298514385960960/VEutSP7L.png","View")</f>
        <v>View</v>
      </c>
    </row>
    <row r="2392" spans="1:21" ht="51">
      <c r="A2392" s="6">
        <v>43438.436157407406</v>
      </c>
      <c r="B2392" s="7" t="str">
        <f>HYPERLINK("https://twitter.com/torrevej","@torrevej")</f>
        <v>@torrevej</v>
      </c>
      <c r="C2392" s="8" t="s">
        <v>4834</v>
      </c>
      <c r="D2392" s="9" t="s">
        <v>7797</v>
      </c>
      <c r="E2392" s="10" t="str">
        <f>HYPERLINK("https://twitter.com/torrevej/status/1069886041765658625","1069886041765658625")</f>
        <v>1069886041765658625</v>
      </c>
      <c r="F2392" s="11"/>
      <c r="G2392" s="11"/>
      <c r="H2392" s="11"/>
      <c r="I2392" s="14">
        <v>1</v>
      </c>
      <c r="J2392" s="14">
        <v>2</v>
      </c>
      <c r="K2392" s="15" t="str">
        <f>HYPERLINK("http://twitter.com/download/iphone","Twitter for iPhone")</f>
        <v>Twitter for iPhone</v>
      </c>
      <c r="L2392" s="14">
        <v>1089</v>
      </c>
      <c r="M2392" s="14">
        <v>1283</v>
      </c>
      <c r="N2392" s="14">
        <v>29</v>
      </c>
      <c r="O2392" s="16"/>
      <c r="P2392" s="6">
        <v>39760.412893518514</v>
      </c>
      <c r="Q2392" s="11"/>
      <c r="R2392" s="17" t="s">
        <v>4839</v>
      </c>
      <c r="S2392" s="11"/>
      <c r="T2392" s="11"/>
      <c r="U2392" s="10" t="str">
        <f>HYPERLINK("https://pbs.twimg.com/profile_images/748164789206147074/_bKCbBgK.jpg","View")</f>
        <v>View</v>
      </c>
    </row>
    <row r="2393" spans="1:21" ht="61.2">
      <c r="A2393" s="6">
        <v>43438.434340277774</v>
      </c>
      <c r="B2393" s="7" t="str">
        <f>HYPERLINK("https://twitter.com/Movev_zulia","@Movev_zulia")</f>
        <v>@Movev_zulia</v>
      </c>
      <c r="C2393" s="8" t="s">
        <v>1089</v>
      </c>
      <c r="D2393" s="9" t="s">
        <v>7801</v>
      </c>
      <c r="E2393" s="10" t="str">
        <f>HYPERLINK("https://twitter.com/Movev_zulia/status/1069885381083041793","1069885381083041793")</f>
        <v>1069885381083041793</v>
      </c>
      <c r="F2393" s="11"/>
      <c r="G2393" s="13" t="s">
        <v>7802</v>
      </c>
      <c r="H2393" s="11"/>
      <c r="I2393" s="14">
        <v>0</v>
      </c>
      <c r="J2393" s="14">
        <v>0</v>
      </c>
      <c r="K2393" s="15" t="str">
        <f>HYPERLINK("http://twitter.com/download/android","Twitter for Android")</f>
        <v>Twitter for Android</v>
      </c>
      <c r="L2393" s="14">
        <v>4440</v>
      </c>
      <c r="M2393" s="14">
        <v>4052</v>
      </c>
      <c r="N2393" s="14">
        <v>50</v>
      </c>
      <c r="O2393" s="16"/>
      <c r="P2393" s="6">
        <v>40042.179976851854</v>
      </c>
      <c r="Q2393" s="12" t="s">
        <v>1096</v>
      </c>
      <c r="R2393" s="17" t="s">
        <v>1097</v>
      </c>
      <c r="S2393" s="11"/>
      <c r="T2393" s="11"/>
      <c r="U2393" s="10" t="str">
        <f>HYPERLINK("https://pbs.twimg.com/profile_images/1061345906350546945/9yGklYGH.jpg","View")</f>
        <v>View</v>
      </c>
    </row>
    <row r="2394" spans="1:21" ht="51">
      <c r="A2394" s="6">
        <v>43438.434166666666</v>
      </c>
      <c r="B2394" s="7" t="str">
        <f>HYPERLINK("https://twitter.com/cajjjco","@cajjjco")</f>
        <v>@cajjjco</v>
      </c>
      <c r="C2394" s="8" t="s">
        <v>7803</v>
      </c>
      <c r="D2394" s="9" t="s">
        <v>7804</v>
      </c>
      <c r="E2394" s="10" t="str">
        <f>HYPERLINK("https://twitter.com/cajjjco/status/1069885321905668096","1069885321905668096")</f>
        <v>1069885321905668096</v>
      </c>
      <c r="F2394" s="11"/>
      <c r="G2394" s="11"/>
      <c r="H2394" s="11"/>
      <c r="I2394" s="14">
        <v>0</v>
      </c>
      <c r="J2394" s="14">
        <v>1</v>
      </c>
      <c r="K2394" s="15" t="str">
        <f>HYPERLINK("https://about.twitter.com/products/tweetdeck","TweetDeck")</f>
        <v>TweetDeck</v>
      </c>
      <c r="L2394" s="14">
        <v>208</v>
      </c>
      <c r="M2394" s="14">
        <v>119</v>
      </c>
      <c r="N2394" s="14">
        <v>1</v>
      </c>
      <c r="O2394" s="16"/>
      <c r="P2394" s="6">
        <v>43266.020590277782</v>
      </c>
      <c r="Q2394" s="12" t="s">
        <v>7805</v>
      </c>
      <c r="R2394" s="17" t="s">
        <v>7806</v>
      </c>
      <c r="S2394" s="11"/>
      <c r="T2394" s="11"/>
      <c r="U2394" s="10" t="str">
        <f>HYPERLINK("https://pbs.twimg.com/profile_images/1007390838429749248/YE4nsfMP.jpg","View")</f>
        <v>View</v>
      </c>
    </row>
    <row r="2395" spans="1:21" ht="20.399999999999999">
      <c r="A2395" s="6">
        <v>43438.433425925927</v>
      </c>
      <c r="B2395" s="7" t="str">
        <f>HYPERLINK("https://twitter.com/En_Blau_es","@En_Blau_es")</f>
        <v>@En_Blau_es</v>
      </c>
      <c r="C2395" s="8" t="s">
        <v>4549</v>
      </c>
      <c r="D2395" s="9" t="s">
        <v>8574</v>
      </c>
      <c r="E2395" s="10" t="str">
        <f>HYPERLINK("https://twitter.com/En_Blau_es/status/1069885051255570432","1069885051255570432")</f>
        <v>1069885051255570432</v>
      </c>
      <c r="F2395" s="13" t="s">
        <v>8573</v>
      </c>
      <c r="G2395" s="11"/>
      <c r="H2395" s="11"/>
      <c r="I2395" s="14">
        <v>0</v>
      </c>
      <c r="J2395" s="14">
        <v>0</v>
      </c>
      <c r="K2395" s="15" t="str">
        <f>HYPERLINK("http://www.wearebab.com","Comitium5 BAB")</f>
        <v>Comitium5 BAB</v>
      </c>
      <c r="L2395" s="14">
        <v>389</v>
      </c>
      <c r="M2395" s="14">
        <v>98</v>
      </c>
      <c r="N2395" s="14">
        <v>4</v>
      </c>
      <c r="O2395" s="16"/>
      <c r="P2395" s="6">
        <v>42824.566701388889</v>
      </c>
      <c r="Q2395" s="11"/>
      <c r="R2395" s="18"/>
      <c r="S2395" s="13" t="s">
        <v>4551</v>
      </c>
      <c r="T2395" s="11"/>
      <c r="U2395" s="10" t="str">
        <f>HYPERLINK("https://pbs.twimg.com/profile_images/849621382346534912/rD-7feps.jpg","View")</f>
        <v>View</v>
      </c>
    </row>
    <row r="2396" spans="1:21" ht="51">
      <c r="A2396" s="6">
        <v>43438.432337962964</v>
      </c>
      <c r="B2396" s="7" t="str">
        <f>HYPERLINK("https://twitter.com/JgnacioJose","@JgnacioJose")</f>
        <v>@JgnacioJose</v>
      </c>
      <c r="C2396" s="8" t="s">
        <v>7807</v>
      </c>
      <c r="D2396" s="9" t="s">
        <v>7808</v>
      </c>
      <c r="E2396" s="10" t="str">
        <f>HYPERLINK("https://twitter.com/JgnacioJose/status/1069884656932306944","1069884656932306944")</f>
        <v>1069884656932306944</v>
      </c>
      <c r="F2396" s="11"/>
      <c r="G2396" s="11"/>
      <c r="H2396" s="11"/>
      <c r="I2396" s="14">
        <v>0</v>
      </c>
      <c r="J2396" s="14">
        <v>0</v>
      </c>
      <c r="K2396" s="15" t="str">
        <f t="shared" ref="K2396:K2397" si="472">HYPERLINK("http://twitter.com/download/android","Twitter for Android")</f>
        <v>Twitter for Android</v>
      </c>
      <c r="L2396" s="14">
        <v>230</v>
      </c>
      <c r="M2396" s="14">
        <v>643</v>
      </c>
      <c r="N2396" s="14">
        <v>8</v>
      </c>
      <c r="O2396" s="16"/>
      <c r="P2396" s="6">
        <v>42196.846851851849</v>
      </c>
      <c r="Q2396" s="11"/>
      <c r="R2396" s="17" t="s">
        <v>7809</v>
      </c>
      <c r="S2396" s="11"/>
      <c r="T2396" s="11"/>
      <c r="U2396" s="10" t="str">
        <f>HYPERLINK("https://pbs.twimg.com/profile_images/623922035538968580/lozTwF_k.jpg","View")</f>
        <v>View</v>
      </c>
    </row>
    <row r="2397" spans="1:21" ht="51">
      <c r="A2397" s="6">
        <v>43438.430277777778</v>
      </c>
      <c r="B2397" s="7" t="str">
        <f>HYPERLINK("https://twitter.com/Gadium","@Gadium")</f>
        <v>@Gadium</v>
      </c>
      <c r="C2397" s="8" t="s">
        <v>7813</v>
      </c>
      <c r="D2397" s="9" t="s">
        <v>7814</v>
      </c>
      <c r="E2397" s="10" t="str">
        <f>HYPERLINK("https://twitter.com/Gadium/status/1069883910614585344","1069883910614585344")</f>
        <v>1069883910614585344</v>
      </c>
      <c r="F2397" s="11"/>
      <c r="G2397" s="11"/>
      <c r="H2397" s="11"/>
      <c r="I2397" s="14">
        <v>0</v>
      </c>
      <c r="J2397" s="14">
        <v>0</v>
      </c>
      <c r="K2397" s="15" t="str">
        <f t="shared" si="472"/>
        <v>Twitter for Android</v>
      </c>
      <c r="L2397" s="14">
        <v>910</v>
      </c>
      <c r="M2397" s="14">
        <v>483</v>
      </c>
      <c r="N2397" s="14">
        <v>74</v>
      </c>
      <c r="O2397" s="16"/>
      <c r="P2397" s="6">
        <v>40121.675706018519</v>
      </c>
      <c r="Q2397" s="12" t="s">
        <v>7818</v>
      </c>
      <c r="R2397" s="17" t="s">
        <v>7819</v>
      </c>
      <c r="S2397" s="13" t="s">
        <v>7820</v>
      </c>
      <c r="T2397" s="11"/>
      <c r="U2397" s="10" t="str">
        <f>HYPERLINK("https://pbs.twimg.com/profile_images/1060649900197732357/HqASkrLl.jpg","View")</f>
        <v>View</v>
      </c>
    </row>
    <row r="2398" spans="1:21" ht="51">
      <c r="A2398" s="6">
        <v>43438.426805555559</v>
      </c>
      <c r="B2398" s="7" t="str">
        <f>HYPERLINK("https://twitter.com/frelimpio","@frelimpio")</f>
        <v>@frelimpio</v>
      </c>
      <c r="C2398" s="8" t="s">
        <v>5725</v>
      </c>
      <c r="D2398" s="9" t="s">
        <v>7821</v>
      </c>
      <c r="E2398" s="10" t="str">
        <f>HYPERLINK("https://twitter.com/frelimpio/status/1069882651736182784","1069882651736182784")</f>
        <v>1069882651736182784</v>
      </c>
      <c r="F2398" s="12" t="s">
        <v>7822</v>
      </c>
      <c r="G2398" s="11"/>
      <c r="H2398" s="11"/>
      <c r="I2398" s="14">
        <v>0</v>
      </c>
      <c r="J2398" s="14">
        <v>3</v>
      </c>
      <c r="K2398" s="15" t="str">
        <f>HYPERLINK("http://twitter.com","Twitter Web Client")</f>
        <v>Twitter Web Client</v>
      </c>
      <c r="L2398" s="14">
        <v>3250</v>
      </c>
      <c r="M2398" s="14">
        <v>2740</v>
      </c>
      <c r="N2398" s="14">
        <v>113</v>
      </c>
      <c r="O2398" s="16"/>
      <c r="P2398" s="6">
        <v>40490.382824074077</v>
      </c>
      <c r="Q2398" s="12" t="s">
        <v>969</v>
      </c>
      <c r="R2398" s="17" t="s">
        <v>5730</v>
      </c>
      <c r="S2398" s="13" t="s">
        <v>5731</v>
      </c>
      <c r="T2398" s="11"/>
      <c r="U2398" s="10" t="str">
        <f>HYPERLINK("https://pbs.twimg.com/profile_images/1019290774108819458/wz1I2xwz.jpg","View")</f>
        <v>View</v>
      </c>
    </row>
    <row r="2399" spans="1:21" ht="51">
      <c r="A2399" s="6">
        <v>43438.426354166666</v>
      </c>
      <c r="B2399" s="7" t="str">
        <f>HYPERLINK("https://twitter.com/losfosfonautas","@losfosfonautas")</f>
        <v>@losfosfonautas</v>
      </c>
      <c r="C2399" s="8" t="s">
        <v>7828</v>
      </c>
      <c r="D2399" s="9" t="s">
        <v>7829</v>
      </c>
      <c r="E2399" s="10" t="str">
        <f>HYPERLINK("https://twitter.com/losfosfonautas/status/1069882488074457088","1069882488074457088")</f>
        <v>1069882488074457088</v>
      </c>
      <c r="F2399" s="13" t="s">
        <v>7830</v>
      </c>
      <c r="G2399" s="11"/>
      <c r="H2399" s="11"/>
      <c r="I2399" s="14">
        <v>4</v>
      </c>
      <c r="J2399" s="14">
        <v>10</v>
      </c>
      <c r="K2399" s="15" t="str">
        <f>HYPERLINK("http://www.facebook.com/twitter","Facebook")</f>
        <v>Facebook</v>
      </c>
      <c r="L2399" s="14">
        <v>30202</v>
      </c>
      <c r="M2399" s="14">
        <v>1122</v>
      </c>
      <c r="N2399" s="14">
        <v>145</v>
      </c>
      <c r="O2399" s="16"/>
      <c r="P2399" s="6">
        <v>41233.60670138889</v>
      </c>
      <c r="Q2399" s="11"/>
      <c r="R2399" s="17" t="s">
        <v>7831</v>
      </c>
      <c r="S2399" s="13" t="s">
        <v>7832</v>
      </c>
      <c r="T2399" s="11"/>
      <c r="U2399" s="10" t="str">
        <f>HYPERLINK("https://pbs.twimg.com/profile_images/1070276583448031233/brdhILyk.jpg","View")</f>
        <v>View</v>
      </c>
    </row>
    <row r="2400" spans="1:21" ht="61.2">
      <c r="A2400" s="6">
        <v>43438.424884259264</v>
      </c>
      <c r="B2400" s="7" t="str">
        <f>HYPERLINK("https://twitter.com/Live95866617","@Live95866617")</f>
        <v>@Live95866617</v>
      </c>
      <c r="C2400" s="8" t="s">
        <v>7833</v>
      </c>
      <c r="D2400" s="9" t="s">
        <v>7834</v>
      </c>
      <c r="E2400" s="10" t="str">
        <f>HYPERLINK("https://twitter.com/Live95866617/status/1069881957172027392","1069881957172027392")</f>
        <v>1069881957172027392</v>
      </c>
      <c r="F2400" s="11"/>
      <c r="G2400" s="13" t="s">
        <v>7837</v>
      </c>
      <c r="H2400" s="11"/>
      <c r="I2400" s="14">
        <v>21</v>
      </c>
      <c r="J2400" s="14">
        <v>17</v>
      </c>
      <c r="K2400" s="15" t="str">
        <f>HYPERLINK("http://twitter.com/download/android","Twitter for Android")</f>
        <v>Twitter for Android</v>
      </c>
      <c r="L2400" s="14">
        <v>713</v>
      </c>
      <c r="M2400" s="14">
        <v>655</v>
      </c>
      <c r="N2400" s="14">
        <v>2</v>
      </c>
      <c r="O2400" s="16"/>
      <c r="P2400" s="6">
        <v>43180.840046296296</v>
      </c>
      <c r="Q2400" s="12" t="s">
        <v>137</v>
      </c>
      <c r="R2400" s="17" t="s">
        <v>7838</v>
      </c>
      <c r="S2400" s="11"/>
      <c r="T2400" s="11"/>
      <c r="U2400" s="10" t="str">
        <f>HYPERLINK("https://pbs.twimg.com/profile_images/1066710158078869505/0fTyrOzs.jpg","View")</f>
        <v>View</v>
      </c>
    </row>
    <row r="2401" spans="1:21" ht="61.2">
      <c r="A2401" s="6">
        <v>43438.424479166672</v>
      </c>
      <c r="B2401" s="7" t="str">
        <f>HYPERLINK("https://twitter.com/frndominguez","@frndominguez")</f>
        <v>@frndominguez</v>
      </c>
      <c r="C2401" s="8" t="s">
        <v>7842</v>
      </c>
      <c r="D2401" s="9" t="s">
        <v>7843</v>
      </c>
      <c r="E2401" s="10" t="str">
        <f>HYPERLINK("https://twitter.com/frndominguez/status/1069881810862202880","1069881810862202880")</f>
        <v>1069881810862202880</v>
      </c>
      <c r="F2401" s="11"/>
      <c r="G2401" s="11"/>
      <c r="H2401" s="11"/>
      <c r="I2401" s="14">
        <v>0</v>
      </c>
      <c r="J2401" s="14">
        <v>1</v>
      </c>
      <c r="K2401" s="15" t="str">
        <f>HYPERLINK("http://twitter.com/download/iphone","Twitter for iPhone")</f>
        <v>Twitter for iPhone</v>
      </c>
      <c r="L2401" s="14">
        <v>281</v>
      </c>
      <c r="M2401" s="14">
        <v>937</v>
      </c>
      <c r="N2401" s="14">
        <v>2</v>
      </c>
      <c r="O2401" s="16"/>
      <c r="P2401" s="6">
        <v>41094.413564814815</v>
      </c>
      <c r="Q2401" s="12" t="s">
        <v>7844</v>
      </c>
      <c r="R2401" s="17" t="s">
        <v>7845</v>
      </c>
      <c r="S2401" s="11"/>
      <c r="T2401" s="11"/>
      <c r="U2401" s="10" t="str">
        <f>HYPERLINK("https://pbs.twimg.com/profile_images/607799324010024961/3zYR_-mh.jpg","View")</f>
        <v>View</v>
      </c>
    </row>
    <row r="2402" spans="1:21" ht="30.6">
      <c r="A2402" s="6">
        <v>43438.423368055555</v>
      </c>
      <c r="B2402" s="7" t="str">
        <f>HYPERLINK("https://twitter.com/martipeke","@martipeke")</f>
        <v>@martipeke</v>
      </c>
      <c r="C2402" s="8" t="s">
        <v>7846</v>
      </c>
      <c r="D2402" s="9" t="s">
        <v>7847</v>
      </c>
      <c r="E2402" s="10" t="str">
        <f>HYPERLINK("https://twitter.com/martipeke/status/1069881407537905664","1069881407537905664")</f>
        <v>1069881407537905664</v>
      </c>
      <c r="F2402" s="11"/>
      <c r="G2402" s="11"/>
      <c r="H2402" s="11"/>
      <c r="I2402" s="14">
        <v>0</v>
      </c>
      <c r="J2402" s="14">
        <v>0</v>
      </c>
      <c r="K2402" s="15" t="str">
        <f>HYPERLINK("http://twitter.com","Twitter Web Client")</f>
        <v>Twitter Web Client</v>
      </c>
      <c r="L2402" s="14">
        <v>2495</v>
      </c>
      <c r="M2402" s="14">
        <v>1909</v>
      </c>
      <c r="N2402" s="14">
        <v>44</v>
      </c>
      <c r="O2402" s="16"/>
      <c r="P2402" s="6">
        <v>40311.53601851852</v>
      </c>
      <c r="Q2402" s="12" t="s">
        <v>7848</v>
      </c>
      <c r="R2402" s="17" t="s">
        <v>7849</v>
      </c>
      <c r="S2402" s="11"/>
      <c r="T2402" s="11"/>
      <c r="U2402" s="10" t="str">
        <f>HYPERLINK("https://pbs.twimg.com/profile_images/1002492806177443841/O9IG1Hp9.jpg","View")</f>
        <v>View</v>
      </c>
    </row>
    <row r="2403" spans="1:21" ht="81.599999999999994">
      <c r="A2403" s="6">
        <v>43438.423090277778</v>
      </c>
      <c r="B2403" s="7" t="str">
        <f>HYPERLINK("https://twitter.com/Arezno","@Arezno")</f>
        <v>@Arezno</v>
      </c>
      <c r="C2403" s="8" t="s">
        <v>4243</v>
      </c>
      <c r="D2403" s="9" t="s">
        <v>7850</v>
      </c>
      <c r="E2403" s="10" t="str">
        <f>HYPERLINK("https://twitter.com/Arezno/status/1069881305368850432","1069881305368850432")</f>
        <v>1069881305368850432</v>
      </c>
      <c r="F2403" s="12" t="s">
        <v>6915</v>
      </c>
      <c r="G2403" s="11"/>
      <c r="H2403" s="11"/>
      <c r="I2403" s="14">
        <v>422</v>
      </c>
      <c r="J2403" s="14">
        <v>607</v>
      </c>
      <c r="K2403" s="15" t="str">
        <f t="shared" ref="K2403:K2405" si="473">HYPERLINK("http://twitter.com/download/android","Twitter for Android")</f>
        <v>Twitter for Android</v>
      </c>
      <c r="L2403" s="14">
        <v>51739</v>
      </c>
      <c r="M2403" s="14">
        <v>1988</v>
      </c>
      <c r="N2403" s="14">
        <v>1208</v>
      </c>
      <c r="O2403" s="16"/>
      <c r="P2403" s="6">
        <v>39593.610243055555</v>
      </c>
      <c r="Q2403" s="12" t="s">
        <v>4250</v>
      </c>
      <c r="R2403" s="17" t="s">
        <v>4251</v>
      </c>
      <c r="S2403" s="13" t="s">
        <v>4252</v>
      </c>
      <c r="T2403" s="11"/>
      <c r="U2403" s="10" t="str">
        <f>HYPERLINK("https://pbs.twimg.com/profile_images/892420921042055170/muiAu5BI.jpg","View")</f>
        <v>View</v>
      </c>
    </row>
    <row r="2404" spans="1:21" ht="30.6">
      <c r="A2404" s="6">
        <v>43438.422581018516</v>
      </c>
      <c r="B2404" s="7" t="str">
        <f>HYPERLINK("https://twitter.com/PattxiGT","@PattxiGT")</f>
        <v>@PattxiGT</v>
      </c>
      <c r="C2404" s="8" t="s">
        <v>8575</v>
      </c>
      <c r="D2404" s="9" t="s">
        <v>8576</v>
      </c>
      <c r="E2404" s="10" t="str">
        <f>HYPERLINK("https://twitter.com/PattxiGT/status/1069881121024946176","1069881121024946176")</f>
        <v>1069881121024946176</v>
      </c>
      <c r="F2404" s="13" t="s">
        <v>8577</v>
      </c>
      <c r="G2404" s="11"/>
      <c r="H2404" s="11"/>
      <c r="I2404" s="14">
        <v>0</v>
      </c>
      <c r="J2404" s="14">
        <v>0</v>
      </c>
      <c r="K2404" s="15" t="str">
        <f t="shared" si="473"/>
        <v>Twitter for Android</v>
      </c>
      <c r="L2404" s="14">
        <v>120</v>
      </c>
      <c r="M2404" s="14">
        <v>367</v>
      </c>
      <c r="N2404" s="14">
        <v>4</v>
      </c>
      <c r="O2404" s="16"/>
      <c r="P2404" s="6">
        <v>40641.03628472222</v>
      </c>
      <c r="Q2404" s="11"/>
      <c r="R2404" s="17" t="s">
        <v>8578</v>
      </c>
      <c r="S2404" s="11"/>
      <c r="T2404" s="11"/>
      <c r="U2404" s="10" t="str">
        <f>HYPERLINK("https://pbs.twimg.com/profile_images/902679805732278275/6Z9jQwIX.jpg","View")</f>
        <v>View</v>
      </c>
    </row>
    <row r="2405" spans="1:21" ht="102">
      <c r="A2405" s="6">
        <v>43438.421249999999</v>
      </c>
      <c r="B2405" s="7" t="str">
        <f>HYPERLINK("https://twitter.com/Jesus_9barris","@Jesus_9barris")</f>
        <v>@Jesus_9barris</v>
      </c>
      <c r="C2405" s="8" t="s">
        <v>7860</v>
      </c>
      <c r="D2405" s="9" t="s">
        <v>7861</v>
      </c>
      <c r="E2405" s="10" t="str">
        <f>HYPERLINK("https://twitter.com/Jesus_9barris/status/1069880641263677440","1069880641263677440")</f>
        <v>1069880641263677440</v>
      </c>
      <c r="F2405" s="12" t="s">
        <v>7862</v>
      </c>
      <c r="G2405" s="11"/>
      <c r="H2405" s="11"/>
      <c r="I2405" s="14">
        <v>0</v>
      </c>
      <c r="J2405" s="14">
        <v>0</v>
      </c>
      <c r="K2405" s="15" t="str">
        <f t="shared" si="473"/>
        <v>Twitter for Android</v>
      </c>
      <c r="L2405" s="14">
        <v>1159</v>
      </c>
      <c r="M2405" s="14">
        <v>1451</v>
      </c>
      <c r="N2405" s="14">
        <v>38</v>
      </c>
      <c r="O2405" s="16"/>
      <c r="P2405" s="6">
        <v>40598.933668981481</v>
      </c>
      <c r="Q2405" s="12" t="s">
        <v>7863</v>
      </c>
      <c r="R2405" s="17" t="s">
        <v>7864</v>
      </c>
      <c r="S2405" s="11"/>
      <c r="T2405" s="11"/>
      <c r="U2405" s="10" t="str">
        <f>HYPERLINK("https://pbs.twimg.com/profile_images/994897453521489927/zx-1kIP7.jpg","View")</f>
        <v>View</v>
      </c>
    </row>
    <row r="2406" spans="1:21" ht="51">
      <c r="A2406" s="6">
        <v>43438.419837962967</v>
      </c>
      <c r="B2406" s="7" t="str">
        <f>HYPERLINK("https://twitter.com/pipio44","@pipio44")</f>
        <v>@pipio44</v>
      </c>
      <c r="C2406" s="8" t="s">
        <v>4942</v>
      </c>
      <c r="D2406" s="9" t="s">
        <v>7865</v>
      </c>
      <c r="E2406" s="10" t="str">
        <f>HYPERLINK("https://twitter.com/pipio44/status/1069880127780253696","1069880127780253696")</f>
        <v>1069880127780253696</v>
      </c>
      <c r="F2406" s="11"/>
      <c r="G2406" s="11"/>
      <c r="H2406" s="11"/>
      <c r="I2406" s="14">
        <v>0</v>
      </c>
      <c r="J2406" s="14">
        <v>0</v>
      </c>
      <c r="K2406" s="15" t="str">
        <f t="shared" ref="K2406:K2407" si="474">HYPERLINK("http://twitter.com/download/iphone","Twitter for iPhone")</f>
        <v>Twitter for iPhone</v>
      </c>
      <c r="L2406" s="14">
        <v>744</v>
      </c>
      <c r="M2406" s="14">
        <v>540</v>
      </c>
      <c r="N2406" s="14">
        <v>28</v>
      </c>
      <c r="O2406" s="16"/>
      <c r="P2406" s="6">
        <v>40771.038275462961</v>
      </c>
      <c r="Q2406" s="11"/>
      <c r="R2406" s="17" t="s">
        <v>4946</v>
      </c>
      <c r="S2406" s="11"/>
      <c r="T2406" s="11"/>
      <c r="U2406" s="10" t="str">
        <f>HYPERLINK("https://pbs.twimg.com/profile_images/1052141810347364353/8JWxa8CG.jpg","View")</f>
        <v>View</v>
      </c>
    </row>
    <row r="2407" spans="1:21" ht="40.799999999999997">
      <c r="A2407" s="6">
        <v>43438.418067129634</v>
      </c>
      <c r="B2407" s="7" t="str">
        <f>HYPERLINK("https://twitter.com/Pena_Mou_Bogota","@Pena_Mou_Bogota")</f>
        <v>@Pena_Mou_Bogota</v>
      </c>
      <c r="C2407" s="8" t="s">
        <v>7866</v>
      </c>
      <c r="D2407" s="9" t="s">
        <v>7867</v>
      </c>
      <c r="E2407" s="10" t="str">
        <f>HYPERLINK("https://twitter.com/Pena_Mou_Bogota/status/1069879486374707200","1069879486374707200")</f>
        <v>1069879486374707200</v>
      </c>
      <c r="F2407" s="11"/>
      <c r="G2407" s="11"/>
      <c r="H2407" s="11"/>
      <c r="I2407" s="14">
        <v>0</v>
      </c>
      <c r="J2407" s="14">
        <v>0</v>
      </c>
      <c r="K2407" s="15" t="str">
        <f t="shared" si="474"/>
        <v>Twitter for iPhone</v>
      </c>
      <c r="L2407" s="14">
        <v>1395</v>
      </c>
      <c r="M2407" s="14">
        <v>2228</v>
      </c>
      <c r="N2407" s="14">
        <v>12</v>
      </c>
      <c r="O2407" s="16"/>
      <c r="P2407" s="6">
        <v>41478.826608796298</v>
      </c>
      <c r="Q2407" s="11"/>
      <c r="R2407" s="17" t="s">
        <v>7868</v>
      </c>
      <c r="S2407" s="11"/>
      <c r="T2407" s="11"/>
      <c r="U2407" s="10" t="str">
        <f>HYPERLINK("https://pbs.twimg.com/profile_images/378800000176828068/c4efb709d2c3683228b718ed45069eb3.jpeg","View")</f>
        <v>View</v>
      </c>
    </row>
    <row r="2408" spans="1:21" ht="51">
      <c r="A2408" s="6">
        <v>43438.41805555555</v>
      </c>
      <c r="B2408" s="7" t="str">
        <f>HYPERLINK("https://twitter.com/bitMomentum","@bitMomentum")</f>
        <v>@bitMomentum</v>
      </c>
      <c r="C2408" s="8" t="s">
        <v>1889</v>
      </c>
      <c r="D2408" s="9" t="s">
        <v>7869</v>
      </c>
      <c r="E2408" s="10" t="str">
        <f>HYPERLINK("https://twitter.com/bitMomentum/status/1069879480385236992","1069879480385236992")</f>
        <v>1069879480385236992</v>
      </c>
      <c r="F2408" s="11"/>
      <c r="G2408" s="11"/>
      <c r="H2408" s="11"/>
      <c r="I2408" s="14">
        <v>0</v>
      </c>
      <c r="J2408" s="14">
        <v>0</v>
      </c>
      <c r="K2408" s="15" t="str">
        <f>HYPERLINK("http://www.bitmomentum.com","bitMomentum Bot")</f>
        <v>bitMomentum Bot</v>
      </c>
      <c r="L2408" s="14">
        <v>10254</v>
      </c>
      <c r="M2408" s="14">
        <v>1059</v>
      </c>
      <c r="N2408" s="14">
        <v>263</v>
      </c>
      <c r="O2408" s="16"/>
      <c r="P2408" s="6">
        <v>41608.667511574073</v>
      </c>
      <c r="Q2408" s="11"/>
      <c r="R2408" s="17" t="s">
        <v>1897</v>
      </c>
      <c r="S2408" s="13" t="s">
        <v>1898</v>
      </c>
      <c r="T2408" s="11"/>
      <c r="U2408" s="10" t="str">
        <f>HYPERLINK("https://pbs.twimg.com/profile_images/378800000862185241/20ij2H3u.png","View")</f>
        <v>View</v>
      </c>
    </row>
    <row r="2409" spans="1:21" ht="40.799999999999997">
      <c r="A2409" s="6">
        <v>43438.416666666672</v>
      </c>
      <c r="B2409" s="7" t="str">
        <f>HYPERLINK("https://twitter.com/CsCantabria","@CsCantabria")</f>
        <v>@CsCantabria</v>
      </c>
      <c r="C2409" s="8" t="s">
        <v>370</v>
      </c>
      <c r="D2409" s="9" t="s">
        <v>7875</v>
      </c>
      <c r="E2409" s="10" t="str">
        <f>HYPERLINK("https://twitter.com/CsCantabria/status/1069878979950243840","1069878979950243840")</f>
        <v>1069878979950243840</v>
      </c>
      <c r="F2409" s="11"/>
      <c r="G2409" s="13" t="s">
        <v>7876</v>
      </c>
      <c r="H2409" s="11"/>
      <c r="I2409" s="14">
        <v>8</v>
      </c>
      <c r="J2409" s="14">
        <v>9</v>
      </c>
      <c r="K2409" s="15" t="str">
        <f>HYPERLINK("https://studio.twitter.com","Twitter Media Studio")</f>
        <v>Twitter Media Studio</v>
      </c>
      <c r="L2409" s="14">
        <v>3565</v>
      </c>
      <c r="M2409" s="14">
        <v>339</v>
      </c>
      <c r="N2409" s="14">
        <v>94</v>
      </c>
      <c r="O2409" s="19" t="s">
        <v>42</v>
      </c>
      <c r="P2409" s="6">
        <v>41731.566608796296</v>
      </c>
      <c r="Q2409" s="12" t="s">
        <v>377</v>
      </c>
      <c r="R2409" s="17" t="s">
        <v>378</v>
      </c>
      <c r="S2409" s="13" t="s">
        <v>379</v>
      </c>
      <c r="T2409" s="11"/>
      <c r="U2409" s="10" t="str">
        <f>HYPERLINK("https://pbs.twimg.com/profile_images/1053571729455529984/zfGYdPdw.jpg","View")</f>
        <v>View</v>
      </c>
    </row>
    <row r="2410" spans="1:21" ht="61.2">
      <c r="A2410" s="6">
        <v>43438.414560185185</v>
      </c>
      <c r="B2410" s="7" t="str">
        <f>HYPERLINK("https://twitter.com/astroman78","@astroman78")</f>
        <v>@astroman78</v>
      </c>
      <c r="C2410" s="8" t="s">
        <v>7881</v>
      </c>
      <c r="D2410" s="9" t="s">
        <v>7882</v>
      </c>
      <c r="E2410" s="10" t="str">
        <f>HYPERLINK("https://twitter.com/astroman78/status/1069878213273419776","1069878213273419776")</f>
        <v>1069878213273419776</v>
      </c>
      <c r="F2410" s="13" t="s">
        <v>7884</v>
      </c>
      <c r="G2410" s="11"/>
      <c r="H2410" s="11"/>
      <c r="I2410" s="14">
        <v>8</v>
      </c>
      <c r="J2410" s="14">
        <v>5</v>
      </c>
      <c r="K2410" s="15" t="str">
        <f t="shared" ref="K2410:K2412" si="475">HYPERLINK("http://twitter.com/download/android","Twitter for Android")</f>
        <v>Twitter for Android</v>
      </c>
      <c r="L2410" s="14">
        <v>815</v>
      </c>
      <c r="M2410" s="14">
        <v>573</v>
      </c>
      <c r="N2410" s="14">
        <v>3</v>
      </c>
      <c r="O2410" s="16"/>
      <c r="P2410" s="6">
        <v>42820.586238425924</v>
      </c>
      <c r="Q2410" s="11"/>
      <c r="R2410" s="17" t="s">
        <v>7887</v>
      </c>
      <c r="S2410" s="11"/>
      <c r="T2410" s="11"/>
      <c r="U2410" s="10" t="str">
        <f>HYPERLINK("https://pbs.twimg.com/profile_images/846437060533727233/IzqDNPUh.jpg","View")</f>
        <v>View</v>
      </c>
    </row>
    <row r="2411" spans="1:21" ht="40.799999999999997">
      <c r="A2411" s="6">
        <v>43438.412928240738</v>
      </c>
      <c r="B2411" s="7" t="str">
        <f t="shared" ref="B2411:B2412" si="476">HYPERLINK("https://twitter.com/doguionrego","@doguionrego")</f>
        <v>@doguionrego</v>
      </c>
      <c r="C2411" s="8" t="s">
        <v>756</v>
      </c>
      <c r="D2411" s="9" t="s">
        <v>7890</v>
      </c>
      <c r="E2411" s="10" t="str">
        <f>HYPERLINK("https://twitter.com/doguionrego/status/1069877623759749125","1069877623759749125")</f>
        <v>1069877623759749125</v>
      </c>
      <c r="F2411" s="12" t="s">
        <v>7891</v>
      </c>
      <c r="G2411" s="11"/>
      <c r="H2411" s="11"/>
      <c r="I2411" s="14">
        <v>0</v>
      </c>
      <c r="J2411" s="14">
        <v>0</v>
      </c>
      <c r="K2411" s="15" t="str">
        <f t="shared" si="475"/>
        <v>Twitter for Android</v>
      </c>
      <c r="L2411" s="14">
        <v>4649</v>
      </c>
      <c r="M2411" s="14">
        <v>4774</v>
      </c>
      <c r="N2411" s="14">
        <v>9</v>
      </c>
      <c r="O2411" s="16"/>
      <c r="P2411" s="6">
        <v>42818.633599537032</v>
      </c>
      <c r="Q2411" s="12" t="s">
        <v>137</v>
      </c>
      <c r="R2411" s="17" t="s">
        <v>761</v>
      </c>
      <c r="S2411" s="11"/>
      <c r="T2411" s="11"/>
      <c r="U2411" s="10" t="str">
        <f t="shared" ref="U2411:U2412" si="477">HYPERLINK("https://pbs.twimg.com/profile_images/937615481602789376/OBa7YPsM.jpg","View")</f>
        <v>View</v>
      </c>
    </row>
    <row r="2412" spans="1:21" ht="61.2">
      <c r="A2412" s="6">
        <v>43438.411122685182</v>
      </c>
      <c r="B2412" s="7" t="str">
        <f t="shared" si="476"/>
        <v>@doguionrego</v>
      </c>
      <c r="C2412" s="8" t="s">
        <v>756</v>
      </c>
      <c r="D2412" s="9" t="s">
        <v>7892</v>
      </c>
      <c r="E2412" s="10" t="str">
        <f>HYPERLINK("https://twitter.com/doguionrego/status/1069876970404659200","1069876970404659200")</f>
        <v>1069876970404659200</v>
      </c>
      <c r="F2412" s="12" t="s">
        <v>7894</v>
      </c>
      <c r="G2412" s="11"/>
      <c r="H2412" s="11"/>
      <c r="I2412" s="14">
        <v>0</v>
      </c>
      <c r="J2412" s="14">
        <v>2</v>
      </c>
      <c r="K2412" s="15" t="str">
        <f t="shared" si="475"/>
        <v>Twitter for Android</v>
      </c>
      <c r="L2412" s="14">
        <v>4649</v>
      </c>
      <c r="M2412" s="14">
        <v>4774</v>
      </c>
      <c r="N2412" s="14">
        <v>9</v>
      </c>
      <c r="O2412" s="16"/>
      <c r="P2412" s="6">
        <v>42818.633599537032</v>
      </c>
      <c r="Q2412" s="12" t="s">
        <v>137</v>
      </c>
      <c r="R2412" s="17" t="s">
        <v>761</v>
      </c>
      <c r="S2412" s="11"/>
      <c r="T2412" s="11"/>
      <c r="U2412" s="10" t="str">
        <f t="shared" si="477"/>
        <v>View</v>
      </c>
    </row>
    <row r="2413" spans="1:21" ht="61.2">
      <c r="A2413" s="6">
        <v>43438.407870370371</v>
      </c>
      <c r="B2413" s="7" t="str">
        <f>HYPERLINK("https://twitter.com/Luisa04876630","@Luisa04876630")</f>
        <v>@Luisa04876630</v>
      </c>
      <c r="C2413" s="8" t="s">
        <v>789</v>
      </c>
      <c r="D2413" s="9" t="s">
        <v>7896</v>
      </c>
      <c r="E2413" s="10" t="str">
        <f>HYPERLINK("https://twitter.com/Luisa04876630/status/1069875791717122049","1069875791717122049")</f>
        <v>1069875791717122049</v>
      </c>
      <c r="F2413" s="11"/>
      <c r="G2413" s="11"/>
      <c r="H2413" s="11"/>
      <c r="I2413" s="14">
        <v>0</v>
      </c>
      <c r="J2413" s="14">
        <v>0</v>
      </c>
      <c r="K2413" s="15" t="str">
        <f>HYPERLINK("http://twitter.com","Twitter Web Client")</f>
        <v>Twitter Web Client</v>
      </c>
      <c r="L2413" s="14">
        <v>11</v>
      </c>
      <c r="M2413" s="14">
        <v>40</v>
      </c>
      <c r="N2413" s="14">
        <v>0</v>
      </c>
      <c r="O2413" s="16"/>
      <c r="P2413" s="6">
        <v>43437.384305555555</v>
      </c>
      <c r="Q2413" s="11"/>
      <c r="R2413" s="18"/>
      <c r="S2413" s="11"/>
      <c r="T2413" s="11"/>
      <c r="U2413" s="10" t="str">
        <f>HYPERLINK("https://pbs.twimg.com/profile_images/1069505386787553281/EVqXpfFW.jpg","View")</f>
        <v>View</v>
      </c>
    </row>
    <row r="2414" spans="1:21" ht="40.799999999999997">
      <c r="A2414" s="6">
        <v>43438.406319444446</v>
      </c>
      <c r="B2414" s="7" t="str">
        <f>HYPERLINK("https://twitter.com/lextresabogados","@lextresabogados")</f>
        <v>@lextresabogados</v>
      </c>
      <c r="C2414" s="8" t="s">
        <v>26</v>
      </c>
      <c r="D2414" s="9" t="s">
        <v>8579</v>
      </c>
      <c r="E2414" s="10" t="str">
        <f>HYPERLINK("https://twitter.com/lextresabogados/status/1069875229994954752","1069875229994954752")</f>
        <v>1069875229994954752</v>
      </c>
      <c r="F2414" s="13" t="s">
        <v>8580</v>
      </c>
      <c r="G2414" s="11"/>
      <c r="H2414" s="11"/>
      <c r="I2414" s="14">
        <v>0</v>
      </c>
      <c r="J2414" s="14">
        <v>0</v>
      </c>
      <c r="K2414" s="15" t="str">
        <f>HYPERLINK("http://35.180.36.179","botize nueva")</f>
        <v>botize nueva</v>
      </c>
      <c r="L2414" s="14">
        <v>2912</v>
      </c>
      <c r="M2414" s="14">
        <v>3525</v>
      </c>
      <c r="N2414" s="14">
        <v>26</v>
      </c>
      <c r="O2414" s="16"/>
      <c r="P2414" s="6">
        <v>42880.770949074074</v>
      </c>
      <c r="Q2414" s="12" t="s">
        <v>35</v>
      </c>
      <c r="R2414" s="17" t="s">
        <v>36</v>
      </c>
      <c r="S2414" s="13" t="s">
        <v>37</v>
      </c>
      <c r="T2414" s="11"/>
      <c r="U2414" s="10" t="str">
        <f>HYPERLINK("https://pbs.twimg.com/profile_images/1068056978679898113/YnjKwiVy.jpg","View")</f>
        <v>View</v>
      </c>
    </row>
    <row r="2415" spans="1:21" ht="40.799999999999997">
      <c r="A2415" s="6">
        <v>43438.40625</v>
      </c>
      <c r="B2415" s="7" t="str">
        <f>HYPERLINK("https://twitter.com/laverdad_es","@laverdad_es")</f>
        <v>@laverdad_es</v>
      </c>
      <c r="C2415" s="8" t="s">
        <v>8581</v>
      </c>
      <c r="D2415" s="9" t="s">
        <v>8579</v>
      </c>
      <c r="E2415" s="10" t="str">
        <f>HYPERLINK("https://twitter.com/laverdad_es/status/1069875202811674624","1069875202811674624")</f>
        <v>1069875202811674624</v>
      </c>
      <c r="F2415" s="13" t="s">
        <v>8580</v>
      </c>
      <c r="G2415" s="11"/>
      <c r="H2415" s="11"/>
      <c r="I2415" s="14">
        <v>0</v>
      </c>
      <c r="J2415" s="14">
        <v>4</v>
      </c>
      <c r="K2415" s="15" t="str">
        <f>HYPERLINK("https://about.twitter.com/products/tweetdeck","TweetDeck")</f>
        <v>TweetDeck</v>
      </c>
      <c r="L2415" s="14">
        <v>163019</v>
      </c>
      <c r="M2415" s="14">
        <v>700</v>
      </c>
      <c r="N2415" s="14">
        <v>1337</v>
      </c>
      <c r="O2415" s="19" t="s">
        <v>42</v>
      </c>
      <c r="P2415" s="6">
        <v>39969.670555555553</v>
      </c>
      <c r="Q2415" s="12" t="s">
        <v>820</v>
      </c>
      <c r="R2415" s="17" t="s">
        <v>8582</v>
      </c>
      <c r="S2415" s="13" t="s">
        <v>8583</v>
      </c>
      <c r="T2415" s="11"/>
      <c r="U2415" s="10" t="str">
        <f>HYPERLINK("https://pbs.twimg.com/profile_images/875635188700545024/OP4_El2C.jpg","View")</f>
        <v>View</v>
      </c>
    </row>
    <row r="2416" spans="1:21" ht="40.799999999999997">
      <c r="A2416" s="6">
        <v>43438.405995370369</v>
      </c>
      <c r="B2416" s="7" t="str">
        <f>HYPERLINK("https://twitter.com/Francis98204014","@Francis98204014")</f>
        <v>@Francis98204014</v>
      </c>
      <c r="C2416" s="8" t="s">
        <v>286</v>
      </c>
      <c r="D2416" s="9" t="s">
        <v>8584</v>
      </c>
      <c r="E2416" s="10" t="str">
        <f>HYPERLINK("https://twitter.com/Francis98204014/status/1069875110218268672","1069875110218268672")</f>
        <v>1069875110218268672</v>
      </c>
      <c r="F2416" s="12" t="s">
        <v>8585</v>
      </c>
      <c r="G2416" s="13" t="s">
        <v>8586</v>
      </c>
      <c r="H2416" s="11"/>
      <c r="I2416" s="14">
        <v>5</v>
      </c>
      <c r="J2416" s="14">
        <v>2</v>
      </c>
      <c r="K2416" s="15" t="str">
        <f>HYPERLINK("http://twitter.com/download/android","Twitter for Android")</f>
        <v>Twitter for Android</v>
      </c>
      <c r="L2416" s="14">
        <v>5457</v>
      </c>
      <c r="M2416" s="14">
        <v>5195</v>
      </c>
      <c r="N2416" s="14">
        <v>79</v>
      </c>
      <c r="O2416" s="16"/>
      <c r="P2416" s="6">
        <v>42023.979328703703</v>
      </c>
      <c r="Q2416" s="11"/>
      <c r="R2416" s="18"/>
      <c r="S2416" s="11"/>
      <c r="T2416" s="11"/>
      <c r="U2416" s="10" t="str">
        <f>HYPERLINK("https://pbs.twimg.com/profile_images/557305420625502208/DgZmRbYl.jpeg","View")</f>
        <v>View</v>
      </c>
    </row>
    <row r="2417" spans="1:21" ht="40.799999999999997">
      <c r="A2417" s="6">
        <v>43438.404999999999</v>
      </c>
      <c r="B2417" s="7" t="str">
        <f>HYPERLINK("https://twitter.com/Clavijo859","@Clavijo859")</f>
        <v>@Clavijo859</v>
      </c>
      <c r="C2417" s="8" t="s">
        <v>8587</v>
      </c>
      <c r="D2417" s="9" t="s">
        <v>4445</v>
      </c>
      <c r="E2417" s="10" t="str">
        <f>HYPERLINK("https://twitter.com/Clavijo859/status/1069874749994618882","1069874749994618882")</f>
        <v>1069874749994618882</v>
      </c>
      <c r="F2417" s="13" t="s">
        <v>8588</v>
      </c>
      <c r="G2417" s="11"/>
      <c r="H2417" s="11"/>
      <c r="I2417" s="14">
        <v>0</v>
      </c>
      <c r="J2417" s="14">
        <v>0</v>
      </c>
      <c r="K2417" s="15" t="str">
        <f>HYPERLINK("http://twitter.com","Twitter Web Client")</f>
        <v>Twitter Web Client</v>
      </c>
      <c r="L2417" s="14">
        <v>517</v>
      </c>
      <c r="M2417" s="14">
        <v>0</v>
      </c>
      <c r="N2417" s="14">
        <v>17</v>
      </c>
      <c r="O2417" s="16"/>
      <c r="P2417" s="6">
        <v>40964.640185185184</v>
      </c>
      <c r="Q2417" s="12" t="s">
        <v>29</v>
      </c>
      <c r="R2417" s="17" t="s">
        <v>8589</v>
      </c>
      <c r="S2417" s="13" t="s">
        <v>8590</v>
      </c>
      <c r="T2417" s="11"/>
      <c r="U2417" s="10" t="str">
        <f>HYPERLINK("https://pbs.twimg.com/profile_images/707301702622433280/p2rEBePc.jpg","View")</f>
        <v>View</v>
      </c>
    </row>
    <row r="2418" spans="1:21" ht="51">
      <c r="A2418" s="6">
        <v>43438.402453703704</v>
      </c>
      <c r="B2418" s="7" t="str">
        <f>HYPERLINK("https://twitter.com/agdelucio","@agdelucio")</f>
        <v>@agdelucio</v>
      </c>
      <c r="C2418" s="8" t="s">
        <v>7897</v>
      </c>
      <c r="D2418" s="9" t="s">
        <v>7898</v>
      </c>
      <c r="E2418" s="10" t="str">
        <f>HYPERLINK("https://twitter.com/agdelucio/status/1069873828074061825","1069873828074061825")</f>
        <v>1069873828074061825</v>
      </c>
      <c r="F2418" s="11"/>
      <c r="G2418" s="11"/>
      <c r="H2418" s="11"/>
      <c r="I2418" s="14">
        <v>0</v>
      </c>
      <c r="J2418" s="14">
        <v>1</v>
      </c>
      <c r="K2418" s="15" t="str">
        <f>HYPERLINK("http://twitter.com/download/android","Twitter for Android")</f>
        <v>Twitter for Android</v>
      </c>
      <c r="L2418" s="14">
        <v>107</v>
      </c>
      <c r="M2418" s="14">
        <v>146</v>
      </c>
      <c r="N2418" s="14">
        <v>9</v>
      </c>
      <c r="O2418" s="16"/>
      <c r="P2418" s="6">
        <v>40633.422314814816</v>
      </c>
      <c r="Q2418" s="12" t="s">
        <v>7901</v>
      </c>
      <c r="R2418" s="17" t="s">
        <v>7902</v>
      </c>
      <c r="S2418" s="11"/>
      <c r="T2418" s="11"/>
      <c r="U2418" s="10" t="str">
        <f>HYPERLINK("https://pbs.twimg.com/profile_images/1043640318485258240/_lDUO6MQ.jpg","View")</f>
        <v>View</v>
      </c>
    </row>
    <row r="2419" spans="1:21" ht="51">
      <c r="A2419" s="6">
        <v>43438.401458333334</v>
      </c>
      <c r="B2419" s="7" t="str">
        <f>HYPERLINK("https://twitter.com/HarryKeatown","@HarryKeatown")</f>
        <v>@HarryKeatown</v>
      </c>
      <c r="C2419" s="8" t="s">
        <v>7905</v>
      </c>
      <c r="D2419" s="9" t="s">
        <v>7906</v>
      </c>
      <c r="E2419" s="10" t="str">
        <f>HYPERLINK("https://twitter.com/HarryKeatown/status/1069873468836069376","1069873468836069376")</f>
        <v>1069873468836069376</v>
      </c>
      <c r="F2419" s="11"/>
      <c r="G2419" s="11"/>
      <c r="H2419" s="11"/>
      <c r="I2419" s="14">
        <v>170</v>
      </c>
      <c r="J2419" s="14">
        <v>251</v>
      </c>
      <c r="K2419" s="15" t="str">
        <f>HYPERLINK("http://twitter.com","Twitter Web Client")</f>
        <v>Twitter Web Client</v>
      </c>
      <c r="L2419" s="14">
        <v>882</v>
      </c>
      <c r="M2419" s="14">
        <v>1287</v>
      </c>
      <c r="N2419" s="14">
        <v>7</v>
      </c>
      <c r="O2419" s="16"/>
      <c r="P2419" s="6">
        <v>42389.80768518518</v>
      </c>
      <c r="Q2419" s="12" t="s">
        <v>614</v>
      </c>
      <c r="R2419" s="17" t="s">
        <v>7909</v>
      </c>
      <c r="S2419" s="11"/>
      <c r="T2419" s="11"/>
      <c r="U2419" s="10" t="str">
        <f>HYPERLINK("https://pbs.twimg.com/profile_images/923879633027784704/j5mQQizQ.jpg","View")</f>
        <v>View</v>
      </c>
    </row>
    <row r="2420" spans="1:21" ht="61.2">
      <c r="A2420" s="6">
        <v>43438.399675925924</v>
      </c>
      <c r="B2420" s="7" t="str">
        <f>HYPERLINK("https://twitter.com/RomanEncabo","@RomanEncabo")</f>
        <v>@RomanEncabo</v>
      </c>
      <c r="C2420" s="8" t="s">
        <v>7910</v>
      </c>
      <c r="D2420" s="9" t="s">
        <v>7911</v>
      </c>
      <c r="E2420" s="10" t="str">
        <f>HYPERLINK("https://twitter.com/RomanEncabo/status/1069872820748992514","1069872820748992514")</f>
        <v>1069872820748992514</v>
      </c>
      <c r="F2420" s="11"/>
      <c r="G2420" s="11"/>
      <c r="H2420" s="11"/>
      <c r="I2420" s="14">
        <v>0</v>
      </c>
      <c r="J2420" s="14">
        <v>0</v>
      </c>
      <c r="K2420" s="15" t="str">
        <f>HYPERLINK("http://twitter.com/download/android","Twitter for Android")</f>
        <v>Twitter for Android</v>
      </c>
      <c r="L2420" s="14">
        <v>487</v>
      </c>
      <c r="M2420" s="14">
        <v>977</v>
      </c>
      <c r="N2420" s="14">
        <v>16</v>
      </c>
      <c r="O2420" s="16"/>
      <c r="P2420" s="6">
        <v>42366.438194444447</v>
      </c>
      <c r="Q2420" s="11"/>
      <c r="R2420" s="17" t="s">
        <v>7912</v>
      </c>
      <c r="S2420" s="11"/>
      <c r="T2420" s="11"/>
      <c r="U2420" s="10" t="str">
        <f>HYPERLINK("https://pbs.twimg.com/profile_images/703986254933860353/Co4yt9y6.jpg","View")</f>
        <v>View</v>
      </c>
    </row>
    <row r="2421" spans="1:21" ht="20.399999999999999">
      <c r="A2421" s="6">
        <v>43438.398657407408</v>
      </c>
      <c r="B2421" s="7" t="str">
        <f>HYPERLINK("https://twitter.com/PBMarbeMalaga","@PBMarbeMalaga")</f>
        <v>@PBMarbeMalaga</v>
      </c>
      <c r="C2421" s="8" t="s">
        <v>618</v>
      </c>
      <c r="D2421" s="9" t="s">
        <v>8591</v>
      </c>
      <c r="E2421" s="10" t="str">
        <f>HYPERLINK("https://twitter.com/PBMarbeMalaga/status/1069872452912758784","1069872452912758784")</f>
        <v>1069872452912758784</v>
      </c>
      <c r="F2421" s="13" t="s">
        <v>8592</v>
      </c>
      <c r="G2421" s="11"/>
      <c r="H2421" s="11"/>
      <c r="I2421" s="14">
        <v>0</v>
      </c>
      <c r="J2421" s="14">
        <v>0</v>
      </c>
      <c r="K2421" s="15" t="str">
        <f>HYPERLINK("https://javitang.ddns.net","PBMarbeMalaga")</f>
        <v>PBMarbeMalaga</v>
      </c>
      <c r="L2421" s="14">
        <v>1316</v>
      </c>
      <c r="M2421" s="14">
        <v>1358</v>
      </c>
      <c r="N2421" s="14">
        <v>2</v>
      </c>
      <c r="O2421" s="16"/>
      <c r="P2421" s="6">
        <v>43149.814074074078</v>
      </c>
      <c r="Q2421" s="12" t="s">
        <v>621</v>
      </c>
      <c r="R2421" s="17" t="s">
        <v>622</v>
      </c>
      <c r="S2421" s="11"/>
      <c r="T2421" s="11"/>
      <c r="U2421" s="10" t="str">
        <f>HYPERLINK("https://pbs.twimg.com/profile_images/965296691145531392/sAFnfUu2.jpg","View")</f>
        <v>View</v>
      </c>
    </row>
    <row r="2422" spans="1:21" ht="40.799999999999997">
      <c r="A2422" s="6">
        <v>43438.398263888885</v>
      </c>
      <c r="B2422" s="7" t="str">
        <f>HYPERLINK("https://twitter.com/juanf_moreno","@juanf_moreno")</f>
        <v>@juanf_moreno</v>
      </c>
      <c r="C2422" s="8" t="s">
        <v>8593</v>
      </c>
      <c r="D2422" s="9" t="s">
        <v>8594</v>
      </c>
      <c r="E2422" s="10" t="str">
        <f>HYPERLINK("https://twitter.com/juanf_moreno/status/1069872308888748032","1069872308888748032")</f>
        <v>1069872308888748032</v>
      </c>
      <c r="F2422" s="13" t="s">
        <v>7915</v>
      </c>
      <c r="G2422" s="11"/>
      <c r="H2422" s="11"/>
      <c r="I2422" s="14">
        <v>0</v>
      </c>
      <c r="J2422" s="14">
        <v>0</v>
      </c>
      <c r="K2422" s="15" t="str">
        <f>HYPERLINK("http://twitter.com/#!/download/ipad","Twitter for iPad")</f>
        <v>Twitter for iPad</v>
      </c>
      <c r="L2422" s="14">
        <v>246</v>
      </c>
      <c r="M2422" s="14">
        <v>663</v>
      </c>
      <c r="N2422" s="14">
        <v>13</v>
      </c>
      <c r="O2422" s="16"/>
      <c r="P2422" s="6">
        <v>40163.775358796294</v>
      </c>
      <c r="Q2422" s="12" t="s">
        <v>8595</v>
      </c>
      <c r="R2422" s="17" t="s">
        <v>8596</v>
      </c>
      <c r="S2422" s="11"/>
      <c r="T2422" s="11"/>
      <c r="U2422" s="10" t="str">
        <f>HYPERLINK("https://pbs.twimg.com/profile_images/490456419435839488/K_3nUlMo.jpeg","View")</f>
        <v>View</v>
      </c>
    </row>
    <row r="2423" spans="1:21" ht="40.799999999999997">
      <c r="A2423" s="6">
        <v>43438.397395833337</v>
      </c>
      <c r="B2423" s="7" t="str">
        <f>HYPERLINK("https://twitter.com/capitan_ahab","@capitan_ahab")</f>
        <v>@capitan_ahab</v>
      </c>
      <c r="C2423" s="8" t="s">
        <v>7913</v>
      </c>
      <c r="D2423" s="9" t="s">
        <v>7914</v>
      </c>
      <c r="E2423" s="10" t="str">
        <f>HYPERLINK("https://twitter.com/capitan_ahab/status/1069871993879740416","1069871993879740416")</f>
        <v>1069871993879740416</v>
      </c>
      <c r="F2423" s="13" t="s">
        <v>7915</v>
      </c>
      <c r="G2423" s="13" t="s">
        <v>7916</v>
      </c>
      <c r="H2423" s="11"/>
      <c r="I2423" s="14">
        <v>0</v>
      </c>
      <c r="J2423" s="14">
        <v>2</v>
      </c>
      <c r="K2423" s="15" t="str">
        <f>HYPERLINK("https://about.twitter.com/products/tweetdeck","TweetDeck")</f>
        <v>TweetDeck</v>
      </c>
      <c r="L2423" s="14">
        <v>10156</v>
      </c>
      <c r="M2423" s="14">
        <v>9771</v>
      </c>
      <c r="N2423" s="14">
        <v>208</v>
      </c>
      <c r="O2423" s="16"/>
      <c r="P2423" s="6">
        <v>40049.865416666667</v>
      </c>
      <c r="Q2423" s="12" t="s">
        <v>7917</v>
      </c>
      <c r="R2423" s="17" t="s">
        <v>7918</v>
      </c>
      <c r="S2423" s="13" t="s">
        <v>7919</v>
      </c>
      <c r="T2423" s="11"/>
      <c r="U2423" s="10" t="str">
        <f>HYPERLINK("https://pbs.twimg.com/profile_images/970981738955640832/jw5x2di6.jpg","View")</f>
        <v>View</v>
      </c>
    </row>
    <row r="2424" spans="1:21" ht="71.400000000000006">
      <c r="A2424" s="6">
        <v>43438.395949074074</v>
      </c>
      <c r="B2424" s="7" t="str">
        <f>HYPERLINK("https://twitter.com/doguionrego","@doguionrego")</f>
        <v>@doguionrego</v>
      </c>
      <c r="C2424" s="8" t="s">
        <v>756</v>
      </c>
      <c r="D2424" s="9" t="s">
        <v>7920</v>
      </c>
      <c r="E2424" s="10" t="str">
        <f>HYPERLINK("https://twitter.com/doguionrego/status/1069871470652940288","1069871470652940288")</f>
        <v>1069871470652940288</v>
      </c>
      <c r="F2424" s="12" t="s">
        <v>7894</v>
      </c>
      <c r="G2424" s="11"/>
      <c r="H2424" s="11"/>
      <c r="I2424" s="14">
        <v>1</v>
      </c>
      <c r="J2424" s="14">
        <v>1</v>
      </c>
      <c r="K2424" s="15" t="str">
        <f>HYPERLINK("http://twitter.com/download/android","Twitter for Android")</f>
        <v>Twitter for Android</v>
      </c>
      <c r="L2424" s="14">
        <v>4649</v>
      </c>
      <c r="M2424" s="14">
        <v>4774</v>
      </c>
      <c r="N2424" s="14">
        <v>9</v>
      </c>
      <c r="O2424" s="16"/>
      <c r="P2424" s="6">
        <v>42818.633599537032</v>
      </c>
      <c r="Q2424" s="12" t="s">
        <v>137</v>
      </c>
      <c r="R2424" s="17" t="s">
        <v>761</v>
      </c>
      <c r="S2424" s="11"/>
      <c r="T2424" s="11"/>
      <c r="U2424" s="10" t="str">
        <f>HYPERLINK("https://pbs.twimg.com/profile_images/937615481602789376/OBa7YPsM.jpg","View")</f>
        <v>View</v>
      </c>
    </row>
    <row r="2425" spans="1:21" ht="30.6">
      <c r="A2425" s="6">
        <v>43438.394942129627</v>
      </c>
      <c r="B2425" s="7" t="str">
        <f>HYPERLINK("https://twitter.com/BCN_Pats","@BCN_Pats")</f>
        <v>@BCN_Pats</v>
      </c>
      <c r="C2425" s="8" t="s">
        <v>7923</v>
      </c>
      <c r="D2425" s="9" t="s">
        <v>7924</v>
      </c>
      <c r="E2425" s="10" t="str">
        <f>HYPERLINK("https://twitter.com/BCN_Pats/status/1069871105802989568","1069871105802989568")</f>
        <v>1069871105802989568</v>
      </c>
      <c r="F2425" s="11"/>
      <c r="G2425" s="11"/>
      <c r="H2425" s="11"/>
      <c r="I2425" s="14">
        <v>0</v>
      </c>
      <c r="J2425" s="14">
        <v>0</v>
      </c>
      <c r="K2425" s="15" t="str">
        <f>HYPERLINK("http://twitter.com/download/iphone","Twitter for iPhone")</f>
        <v>Twitter for iPhone</v>
      </c>
      <c r="L2425" s="14">
        <v>72</v>
      </c>
      <c r="M2425" s="14">
        <v>106</v>
      </c>
      <c r="N2425" s="14">
        <v>0</v>
      </c>
      <c r="O2425" s="16"/>
      <c r="P2425" s="6">
        <v>40531.494606481479</v>
      </c>
      <c r="Q2425" s="11"/>
      <c r="R2425" s="18"/>
      <c r="S2425" s="11"/>
      <c r="T2425" s="11"/>
      <c r="U2425" s="10" t="str">
        <f>HYPERLINK("https://pbs.twimg.com/profile_images/573403104571469824/UzQLhWE9.jpeg","View")</f>
        <v>View</v>
      </c>
    </row>
    <row r="2426" spans="1:21" ht="51">
      <c r="A2426" s="6">
        <v>43438.392407407402</v>
      </c>
      <c r="B2426" s="7" t="str">
        <f>HYPERLINK("https://twitter.com/JpinacJorge","@JpinacJorge")</f>
        <v>@JpinacJorge</v>
      </c>
      <c r="C2426" s="8" t="s">
        <v>7930</v>
      </c>
      <c r="D2426" s="9" t="s">
        <v>7931</v>
      </c>
      <c r="E2426" s="10" t="str">
        <f>HYPERLINK("https://twitter.com/JpinacJorge/status/1069870186189197312","1069870186189197312")</f>
        <v>1069870186189197312</v>
      </c>
      <c r="F2426" s="11"/>
      <c r="G2426" s="11"/>
      <c r="H2426" s="11"/>
      <c r="I2426" s="14">
        <v>2</v>
      </c>
      <c r="J2426" s="14">
        <v>3</v>
      </c>
      <c r="K2426" s="15" t="str">
        <f>HYPERLINK("http://twitter.com","Twitter Web Client")</f>
        <v>Twitter Web Client</v>
      </c>
      <c r="L2426" s="14">
        <v>90</v>
      </c>
      <c r="M2426" s="14">
        <v>165</v>
      </c>
      <c r="N2426" s="14">
        <v>1</v>
      </c>
      <c r="O2426" s="16"/>
      <c r="P2426" s="6">
        <v>41693.890405092592</v>
      </c>
      <c r="Q2426" s="12" t="s">
        <v>2705</v>
      </c>
      <c r="R2426" s="17" t="s">
        <v>7932</v>
      </c>
      <c r="S2426" s="11"/>
      <c r="T2426" s="11"/>
      <c r="U2426" s="10" t="str">
        <f>HYPERLINK("https://pbs.twimg.com/profile_images/1045094019125137409/odUIJnfj.jpg","View")</f>
        <v>View</v>
      </c>
    </row>
    <row r="2427" spans="1:21" ht="40.799999999999997">
      <c r="A2427" s="6">
        <v>43438.391840277778</v>
      </c>
      <c r="B2427" s="7" t="str">
        <f>HYPERLINK("https://twitter.com/penebral","@penebral")</f>
        <v>@penebral</v>
      </c>
      <c r="C2427" s="8" t="s">
        <v>7933</v>
      </c>
      <c r="D2427" s="9" t="s">
        <v>7934</v>
      </c>
      <c r="E2427" s="10" t="str">
        <f>HYPERLINK("https://twitter.com/penebral/status/1069869980093767680","1069869980093767680")</f>
        <v>1069869980093767680</v>
      </c>
      <c r="F2427" s="11"/>
      <c r="G2427" s="11"/>
      <c r="H2427" s="11"/>
      <c r="I2427" s="14">
        <v>0</v>
      </c>
      <c r="J2427" s="14">
        <v>1</v>
      </c>
      <c r="K2427" s="15" t="str">
        <f t="shared" ref="K2427:K2428" si="478">HYPERLINK("http://twitter.com/download/android","Twitter for Android")</f>
        <v>Twitter for Android</v>
      </c>
      <c r="L2427" s="14">
        <v>291</v>
      </c>
      <c r="M2427" s="14">
        <v>401</v>
      </c>
      <c r="N2427" s="14">
        <v>0</v>
      </c>
      <c r="O2427" s="16"/>
      <c r="P2427" s="6">
        <v>41009.63071759259</v>
      </c>
      <c r="Q2427" s="12" t="s">
        <v>29</v>
      </c>
      <c r="R2427" s="17" t="s">
        <v>7937</v>
      </c>
      <c r="S2427" s="11"/>
      <c r="T2427" s="11"/>
      <c r="U2427" s="10" t="str">
        <f>HYPERLINK("https://pbs.twimg.com/profile_images/524935672243953666/meNbQoPC.jpeg","View")</f>
        <v>View</v>
      </c>
    </row>
    <row r="2428" spans="1:21" ht="40.799999999999997">
      <c r="A2428" s="6">
        <v>43438.391122685185</v>
      </c>
      <c r="B2428" s="7" t="str">
        <f>HYPERLINK("https://twitter.com/raulponce26","@raulponce26")</f>
        <v>@raulponce26</v>
      </c>
      <c r="C2428" s="8" t="s">
        <v>8597</v>
      </c>
      <c r="D2428" s="9" t="s">
        <v>8598</v>
      </c>
      <c r="E2428" s="10" t="str">
        <f>HYPERLINK("https://twitter.com/raulponce26/status/1069869722072743938","1069869722072743938")</f>
        <v>1069869722072743938</v>
      </c>
      <c r="F2428" s="13" t="s">
        <v>8599</v>
      </c>
      <c r="G2428" s="11"/>
      <c r="H2428" s="11"/>
      <c r="I2428" s="14">
        <v>0</v>
      </c>
      <c r="J2428" s="14">
        <v>1</v>
      </c>
      <c r="K2428" s="15" t="str">
        <f t="shared" si="478"/>
        <v>Twitter for Android</v>
      </c>
      <c r="L2428" s="14">
        <v>206</v>
      </c>
      <c r="M2428" s="14">
        <v>471</v>
      </c>
      <c r="N2428" s="14">
        <v>0</v>
      </c>
      <c r="O2428" s="16"/>
      <c r="P2428" s="6">
        <v>41579.9762962963</v>
      </c>
      <c r="Q2428" s="12" t="s">
        <v>8600</v>
      </c>
      <c r="R2428" s="17" t="s">
        <v>8601</v>
      </c>
      <c r="S2428" s="11"/>
      <c r="T2428" s="11"/>
      <c r="U2428" s="10" t="str">
        <f>HYPERLINK("https://pbs.twimg.com/profile_images/1040671733685075968/lAC10EFK.jpg","View")</f>
        <v>View</v>
      </c>
    </row>
    <row r="2429" spans="1:21" ht="61.2">
      <c r="A2429" s="6">
        <v>43438.390590277777</v>
      </c>
      <c r="B2429" s="7" t="str">
        <f>HYPERLINK("https://twitter.com/ValYMedio","@ValYMedio")</f>
        <v>@ValYMedio</v>
      </c>
      <c r="C2429" s="8" t="s">
        <v>7940</v>
      </c>
      <c r="D2429" s="9" t="s">
        <v>7941</v>
      </c>
      <c r="E2429" s="10" t="str">
        <f>HYPERLINK("https://twitter.com/ValYMedio/status/1069869527691943936","1069869527691943936")</f>
        <v>1069869527691943936</v>
      </c>
      <c r="F2429" s="11"/>
      <c r="G2429" s="13" t="s">
        <v>7944</v>
      </c>
      <c r="H2429" s="11"/>
      <c r="I2429" s="14">
        <v>0</v>
      </c>
      <c r="J2429" s="14">
        <v>0</v>
      </c>
      <c r="K2429" s="15" t="str">
        <f>HYPERLINK("http://twitter.com/download/iphone","Twitter for iPhone")</f>
        <v>Twitter for iPhone</v>
      </c>
      <c r="L2429" s="14">
        <v>239</v>
      </c>
      <c r="M2429" s="14">
        <v>348</v>
      </c>
      <c r="N2429" s="14">
        <v>3</v>
      </c>
      <c r="O2429" s="16"/>
      <c r="P2429" s="6">
        <v>42441.541631944448</v>
      </c>
      <c r="Q2429" s="11"/>
      <c r="R2429" s="17" t="s">
        <v>7947</v>
      </c>
      <c r="S2429" s="11"/>
      <c r="T2429" s="11"/>
      <c r="U2429" s="10" t="str">
        <f>HYPERLINK("https://pbs.twimg.com/profile_images/846762553497829378/mhePnx1E.jpg","View")</f>
        <v>View</v>
      </c>
    </row>
    <row r="2430" spans="1:21" ht="30.6">
      <c r="A2430" s="6">
        <v>43438.390416666662</v>
      </c>
      <c r="B2430" s="7" t="str">
        <f>HYPERLINK("https://twitter.com/CsMontcada","@CsMontcada")</f>
        <v>@CsMontcada</v>
      </c>
      <c r="C2430" s="8" t="s">
        <v>7951</v>
      </c>
      <c r="D2430" s="9" t="s">
        <v>7952</v>
      </c>
      <c r="E2430" s="10" t="str">
        <f>HYPERLINK("https://twitter.com/CsMontcada/status/1069869466505367552","1069869466505367552")</f>
        <v>1069869466505367552</v>
      </c>
      <c r="F2430" s="11"/>
      <c r="G2430" s="13" t="s">
        <v>7955</v>
      </c>
      <c r="H2430" s="11"/>
      <c r="I2430" s="14">
        <v>8</v>
      </c>
      <c r="J2430" s="14">
        <v>2</v>
      </c>
      <c r="K2430" s="15" t="str">
        <f t="shared" ref="K2430:K2431" si="479">HYPERLINK("http://twitter.com/download/android","Twitter for Android")</f>
        <v>Twitter for Android</v>
      </c>
      <c r="L2430" s="14">
        <v>2449</v>
      </c>
      <c r="M2430" s="14">
        <v>434</v>
      </c>
      <c r="N2430" s="14">
        <v>57</v>
      </c>
      <c r="O2430" s="16"/>
      <c r="P2430" s="6">
        <v>40756.88957175926</v>
      </c>
      <c r="Q2430" s="12" t="s">
        <v>7958</v>
      </c>
      <c r="R2430" s="17" t="s">
        <v>7959</v>
      </c>
      <c r="S2430" s="13" t="s">
        <v>7961</v>
      </c>
      <c r="T2430" s="11"/>
      <c r="U2430" s="10" t="str">
        <f>HYPERLINK("https://pbs.twimg.com/profile_images/906306479057260544/wWSCgD6N.jpg","View")</f>
        <v>View</v>
      </c>
    </row>
    <row r="2431" spans="1:21" ht="40.799999999999997">
      <c r="A2431" s="6">
        <v>43438.386550925927</v>
      </c>
      <c r="B2431" s="7" t="str">
        <f>HYPERLINK("https://twitter.com/delezoblas","@delezoblas")</f>
        <v>@delezoblas</v>
      </c>
      <c r="C2431" s="8" t="s">
        <v>7963</v>
      </c>
      <c r="D2431" s="9" t="s">
        <v>7964</v>
      </c>
      <c r="E2431" s="10" t="str">
        <f>HYPERLINK("https://twitter.com/delezoblas/status/1069868065804967936","1069868065804967936")</f>
        <v>1069868065804967936</v>
      </c>
      <c r="F2431" s="11"/>
      <c r="G2431" s="11"/>
      <c r="H2431" s="11"/>
      <c r="I2431" s="14">
        <v>0</v>
      </c>
      <c r="J2431" s="14">
        <v>0</v>
      </c>
      <c r="K2431" s="15" t="str">
        <f t="shared" si="479"/>
        <v>Twitter for Android</v>
      </c>
      <c r="L2431" s="14">
        <v>420</v>
      </c>
      <c r="M2431" s="14">
        <v>1442</v>
      </c>
      <c r="N2431" s="14">
        <v>3</v>
      </c>
      <c r="O2431" s="16"/>
      <c r="P2431" s="6">
        <v>41542.389641203699</v>
      </c>
      <c r="Q2431" s="12" t="s">
        <v>137</v>
      </c>
      <c r="R2431" s="18"/>
      <c r="S2431" s="11"/>
      <c r="T2431" s="11"/>
      <c r="U2431" s="10" t="str">
        <f>HYPERLINK("https://pbs.twimg.com/profile_images/1006205224724332544/ZVjHTkC7.jpg","View")</f>
        <v>View</v>
      </c>
    </row>
    <row r="2432" spans="1:21" ht="40.799999999999997">
      <c r="A2432" s="6">
        <v>43438.384699074071</v>
      </c>
      <c r="B2432" s="7" t="str">
        <f>HYPERLINK("https://twitter.com/ElenaValenciano","@ElenaValenciano")</f>
        <v>@ElenaValenciano</v>
      </c>
      <c r="C2432" s="8" t="s">
        <v>7971</v>
      </c>
      <c r="D2432" s="9" t="s">
        <v>7972</v>
      </c>
      <c r="E2432" s="10" t="str">
        <f>HYPERLINK("https://twitter.com/ElenaValenciano/status/1069867395471282176","1069867395471282176")</f>
        <v>1069867395471282176</v>
      </c>
      <c r="F2432" s="11"/>
      <c r="G2432" s="11"/>
      <c r="H2432" s="11"/>
      <c r="I2432" s="14">
        <v>76</v>
      </c>
      <c r="J2432" s="14">
        <v>132</v>
      </c>
      <c r="K2432" s="15" t="str">
        <f>HYPERLINK("http://twitter.com/#!/download/ipad","Twitter for iPad")</f>
        <v>Twitter for iPad</v>
      </c>
      <c r="L2432" s="14">
        <v>31087</v>
      </c>
      <c r="M2432" s="14">
        <v>7351</v>
      </c>
      <c r="N2432" s="14">
        <v>644</v>
      </c>
      <c r="O2432" s="19" t="s">
        <v>42</v>
      </c>
      <c r="P2432" s="6">
        <v>41590.776550925926</v>
      </c>
      <c r="Q2432" s="11"/>
      <c r="R2432" s="17" t="s">
        <v>7973</v>
      </c>
      <c r="S2432" s="11"/>
      <c r="T2432" s="11"/>
      <c r="U2432" s="10" t="str">
        <f>HYPERLINK("https://pbs.twimg.com/profile_images/741021050339758080/7T_FkvUX.jpg","View")</f>
        <v>View</v>
      </c>
    </row>
    <row r="2433" spans="1:21" ht="20.399999999999999">
      <c r="A2433" s="6">
        <v>43438.384687500002</v>
      </c>
      <c r="B2433" s="7" t="str">
        <f>HYPERLINK("https://twitter.com/tienedelito","@tienedelito")</f>
        <v>@tienedelito</v>
      </c>
      <c r="C2433" s="8" t="s">
        <v>7974</v>
      </c>
      <c r="D2433" s="9" t="s">
        <v>7975</v>
      </c>
      <c r="E2433" s="10" t="str">
        <f>HYPERLINK("https://twitter.com/tienedelito/status/1069867391331516416","1069867391331516416")</f>
        <v>1069867391331516416</v>
      </c>
      <c r="F2433" s="11"/>
      <c r="G2433" s="13" t="s">
        <v>7976</v>
      </c>
      <c r="H2433" s="11"/>
      <c r="I2433" s="14">
        <v>0</v>
      </c>
      <c r="J2433" s="14">
        <v>0</v>
      </c>
      <c r="K2433" s="15" t="str">
        <f>HYPERLINK("http://twitter.com","Twitter Web Client")</f>
        <v>Twitter Web Client</v>
      </c>
      <c r="L2433" s="14">
        <v>404</v>
      </c>
      <c r="M2433" s="14">
        <v>496</v>
      </c>
      <c r="N2433" s="14">
        <v>8</v>
      </c>
      <c r="O2433" s="16"/>
      <c r="P2433" s="6">
        <v>40896.065555555557</v>
      </c>
      <c r="Q2433" s="11"/>
      <c r="R2433" s="17" t="s">
        <v>7977</v>
      </c>
      <c r="S2433" s="11"/>
      <c r="T2433" s="11"/>
      <c r="U2433" s="10" t="str">
        <f>HYPERLINK("https://pbs.twimg.com/profile_images/1005582916234240001/qnu_b9wX.jpg","View")</f>
        <v>View</v>
      </c>
    </row>
    <row r="2434" spans="1:21" ht="20.399999999999999">
      <c r="A2434" s="6">
        <v>43438.38354166667</v>
      </c>
      <c r="B2434" s="7" t="str">
        <f>HYPERLINK("https://twitter.com/pelipelusa","@pelipelusa")</f>
        <v>@pelipelusa</v>
      </c>
      <c r="C2434" s="8" t="s">
        <v>7979</v>
      </c>
      <c r="D2434" s="9" t="s">
        <v>7980</v>
      </c>
      <c r="E2434" s="10" t="str">
        <f>HYPERLINK("https://twitter.com/pelipelusa/status/1069866975713734656","1069866975713734656")</f>
        <v>1069866975713734656</v>
      </c>
      <c r="F2434" s="11"/>
      <c r="G2434" s="11"/>
      <c r="H2434" s="11"/>
      <c r="I2434" s="14">
        <v>0</v>
      </c>
      <c r="J2434" s="14">
        <v>0</v>
      </c>
      <c r="K2434" s="15" t="str">
        <f t="shared" ref="K2434:K2435" si="480">HYPERLINK("http://twitter.com/download/android","Twitter for Android")</f>
        <v>Twitter for Android</v>
      </c>
      <c r="L2434" s="14">
        <v>240</v>
      </c>
      <c r="M2434" s="14">
        <v>462</v>
      </c>
      <c r="N2434" s="14">
        <v>4</v>
      </c>
      <c r="O2434" s="16"/>
      <c r="P2434" s="6">
        <v>40699.855833333335</v>
      </c>
      <c r="Q2434" s="12" t="s">
        <v>7984</v>
      </c>
      <c r="R2434" s="17" t="s">
        <v>7985</v>
      </c>
      <c r="S2434" s="11"/>
      <c r="T2434" s="11"/>
      <c r="U2434" s="10" t="str">
        <f>HYPERLINK("https://pbs.twimg.com/profile_images/1019993002155048961/k3rmY7tB.jpg","View")</f>
        <v>View</v>
      </c>
    </row>
    <row r="2435" spans="1:21" ht="40.799999999999997">
      <c r="A2435" s="6">
        <v>43438.383136574077</v>
      </c>
      <c r="B2435" s="7" t="str">
        <f>HYPERLINK("https://twitter.com/MoreJazzLessTax","@MoreJazzLessTax")</f>
        <v>@MoreJazzLessTax</v>
      </c>
      <c r="C2435" s="8" t="s">
        <v>7988</v>
      </c>
      <c r="D2435" s="9" t="s">
        <v>7989</v>
      </c>
      <c r="E2435" s="10" t="str">
        <f>HYPERLINK("https://twitter.com/MoreJazzLessTax/status/1069866826115497984","1069866826115497984")</f>
        <v>1069866826115497984</v>
      </c>
      <c r="F2435" s="11"/>
      <c r="G2435" s="11"/>
      <c r="H2435" s="11"/>
      <c r="I2435" s="14">
        <v>42</v>
      </c>
      <c r="J2435" s="14">
        <v>75</v>
      </c>
      <c r="K2435" s="15" t="str">
        <f t="shared" si="480"/>
        <v>Twitter for Android</v>
      </c>
      <c r="L2435" s="14">
        <v>1348</v>
      </c>
      <c r="M2435" s="14">
        <v>1344</v>
      </c>
      <c r="N2435" s="14">
        <v>32</v>
      </c>
      <c r="O2435" s="16"/>
      <c r="P2435" s="6">
        <v>42397.388715277775</v>
      </c>
      <c r="Q2435" s="11"/>
      <c r="R2435" s="17" t="s">
        <v>7993</v>
      </c>
      <c r="S2435" s="13" t="s">
        <v>7994</v>
      </c>
      <c r="T2435" s="11"/>
      <c r="U2435" s="10" t="str">
        <f>HYPERLINK("https://pbs.twimg.com/profile_images/894939632705576960/h3u8Ul9m.jpg","View")</f>
        <v>View</v>
      </c>
    </row>
    <row r="2436" spans="1:21" ht="30.6">
      <c r="A2436" s="6">
        <v>43438.38045138889</v>
      </c>
      <c r="B2436" s="7" t="str">
        <f>HYPERLINK("https://twitter.com/jgcorripio","@jgcorripio")</f>
        <v>@jgcorripio</v>
      </c>
      <c r="C2436" s="8" t="s">
        <v>7997</v>
      </c>
      <c r="D2436" s="9" t="s">
        <v>7998</v>
      </c>
      <c r="E2436" s="10" t="str">
        <f>HYPERLINK("https://twitter.com/jgcorripio/status/1069865854337196032","1069865854337196032")</f>
        <v>1069865854337196032</v>
      </c>
      <c r="F2436" s="11"/>
      <c r="G2436" s="11"/>
      <c r="H2436" s="11"/>
      <c r="I2436" s="14">
        <v>0</v>
      </c>
      <c r="J2436" s="14">
        <v>1</v>
      </c>
      <c r="K2436" s="15" t="str">
        <f>HYPERLINK("http://twitter.com","Twitter Web Client")</f>
        <v>Twitter Web Client</v>
      </c>
      <c r="L2436" s="14">
        <v>100</v>
      </c>
      <c r="M2436" s="14">
        <v>396</v>
      </c>
      <c r="N2436" s="14">
        <v>2</v>
      </c>
      <c r="O2436" s="16"/>
      <c r="P2436" s="6">
        <v>42191.398344907408</v>
      </c>
      <c r="Q2436" s="12" t="s">
        <v>8003</v>
      </c>
      <c r="R2436" s="17" t="s">
        <v>8004</v>
      </c>
      <c r="S2436" s="13" t="s">
        <v>8005</v>
      </c>
      <c r="T2436" s="11"/>
      <c r="U2436" s="10" t="str">
        <f>HYPERLINK("https://pbs.twimg.com/profile_images/626356465176068096/nMgNoARb.jpg","View")</f>
        <v>View</v>
      </c>
    </row>
    <row r="2437" spans="1:21" ht="91.8">
      <c r="A2437" s="6">
        <v>43438.380023148144</v>
      </c>
      <c r="B2437" s="7" t="str">
        <f>HYPERLINK("https://twitter.com/penebral","@penebral")</f>
        <v>@penebral</v>
      </c>
      <c r="C2437" s="8" t="s">
        <v>7933</v>
      </c>
      <c r="D2437" s="9" t="s">
        <v>8010</v>
      </c>
      <c r="E2437" s="10" t="str">
        <f>HYPERLINK("https://twitter.com/penebral/status/1069865701215756290","1069865701215756290")</f>
        <v>1069865701215756290</v>
      </c>
      <c r="F2437" s="13" t="s">
        <v>8011</v>
      </c>
      <c r="G2437" s="13" t="s">
        <v>8012</v>
      </c>
      <c r="H2437" s="11"/>
      <c r="I2437" s="14">
        <v>0</v>
      </c>
      <c r="J2437" s="14">
        <v>0</v>
      </c>
      <c r="K2437" s="15" t="str">
        <f t="shared" ref="K2437:K2438" si="481">HYPERLINK("http://twitter.com/download/android","Twitter for Android")</f>
        <v>Twitter for Android</v>
      </c>
      <c r="L2437" s="14">
        <v>291</v>
      </c>
      <c r="M2437" s="14">
        <v>401</v>
      </c>
      <c r="N2437" s="14">
        <v>0</v>
      </c>
      <c r="O2437" s="16"/>
      <c r="P2437" s="6">
        <v>41009.63071759259</v>
      </c>
      <c r="Q2437" s="12" t="s">
        <v>29</v>
      </c>
      <c r="R2437" s="17" t="s">
        <v>7937</v>
      </c>
      <c r="S2437" s="11"/>
      <c r="T2437" s="11"/>
      <c r="U2437" s="10" t="str">
        <f>HYPERLINK("https://pbs.twimg.com/profile_images/524935672243953666/meNbQoPC.jpeg","View")</f>
        <v>View</v>
      </c>
    </row>
    <row r="2438" spans="1:21" ht="40.799999999999997">
      <c r="A2438" s="6">
        <v>43438.378703703704</v>
      </c>
      <c r="B2438" s="7" t="str">
        <f>HYPERLINK("https://twitter.com/LilXop","@LilXop")</f>
        <v>@LilXop</v>
      </c>
      <c r="C2438" s="8" t="s">
        <v>8602</v>
      </c>
      <c r="D2438" s="9" t="s">
        <v>8603</v>
      </c>
      <c r="E2438" s="10" t="str">
        <f>HYPERLINK("https://twitter.com/LilXop/status/1069865222964477952","1069865222964477952")</f>
        <v>1069865222964477952</v>
      </c>
      <c r="F2438" s="13" t="s">
        <v>8604</v>
      </c>
      <c r="G2438" s="11"/>
      <c r="H2438" s="11"/>
      <c r="I2438" s="14">
        <v>0</v>
      </c>
      <c r="J2438" s="14">
        <v>1</v>
      </c>
      <c r="K2438" s="15" t="str">
        <f t="shared" si="481"/>
        <v>Twitter for Android</v>
      </c>
      <c r="L2438" s="14">
        <v>678</v>
      </c>
      <c r="M2438" s="14">
        <v>295</v>
      </c>
      <c r="N2438" s="14">
        <v>24</v>
      </c>
      <c r="O2438" s="16"/>
      <c r="P2438" s="6">
        <v>42056.535000000003</v>
      </c>
      <c r="Q2438" s="12" t="s">
        <v>298</v>
      </c>
      <c r="R2438" s="17" t="s">
        <v>8605</v>
      </c>
      <c r="S2438" s="13" t="s">
        <v>8606</v>
      </c>
      <c r="T2438" s="11"/>
      <c r="U2438" s="10" t="str">
        <f>HYPERLINK("https://pbs.twimg.com/profile_images/1060133314118475777/d4cHycmW.jpg","View")</f>
        <v>View</v>
      </c>
    </row>
    <row r="2439" spans="1:21" ht="51">
      <c r="A2439" s="6">
        <v>43438.378414351857</v>
      </c>
      <c r="B2439" s="7" t="str">
        <f>HYPERLINK("https://twitter.com/pvallin","@pvallin")</f>
        <v>@pvallin</v>
      </c>
      <c r="C2439" s="8" t="s">
        <v>8607</v>
      </c>
      <c r="D2439" s="9" t="s">
        <v>8608</v>
      </c>
      <c r="E2439" s="10" t="str">
        <f>HYPERLINK("https://twitter.com/pvallin/status/1069865116341071873","1069865116341071873")</f>
        <v>1069865116341071873</v>
      </c>
      <c r="F2439" s="13" t="s">
        <v>8599</v>
      </c>
      <c r="G2439" s="11"/>
      <c r="H2439" s="11"/>
      <c r="I2439" s="14">
        <v>10</v>
      </c>
      <c r="J2439" s="14">
        <v>15</v>
      </c>
      <c r="K2439" s="15" t="str">
        <f>HYPERLINK("http://twitter.com","Twitter Web Client")</f>
        <v>Twitter Web Client</v>
      </c>
      <c r="L2439" s="14">
        <v>24261</v>
      </c>
      <c r="M2439" s="14">
        <v>1783</v>
      </c>
      <c r="N2439" s="14">
        <v>325</v>
      </c>
      <c r="O2439" s="16"/>
      <c r="P2439" s="6">
        <v>40917.703530092593</v>
      </c>
      <c r="Q2439" s="12" t="s">
        <v>137</v>
      </c>
      <c r="R2439" s="17" t="s">
        <v>8609</v>
      </c>
      <c r="S2439" s="11"/>
      <c r="T2439" s="11"/>
      <c r="U2439" s="10" t="str">
        <f>HYPERLINK("https://pbs.twimg.com/profile_images/993607003254779905/wxCU4O8X.jpg","View")</f>
        <v>View</v>
      </c>
    </row>
    <row r="2440" spans="1:21" ht="40.799999999999997">
      <c r="A2440" s="6">
        <v>43438.378321759257</v>
      </c>
      <c r="B2440" s="7" t="str">
        <f>HYPERLINK("https://twitter.com/ivandm_79","@ivandm_79")</f>
        <v>@ivandm_79</v>
      </c>
      <c r="C2440" s="8" t="s">
        <v>6459</v>
      </c>
      <c r="D2440" s="9" t="s">
        <v>8018</v>
      </c>
      <c r="E2440" s="10" t="str">
        <f>HYPERLINK("https://twitter.com/ivandm_79/status/1069865082593730560","1069865082593730560")</f>
        <v>1069865082593730560</v>
      </c>
      <c r="F2440" s="13" t="s">
        <v>8022</v>
      </c>
      <c r="G2440" s="11"/>
      <c r="H2440" s="11"/>
      <c r="I2440" s="14">
        <v>0</v>
      </c>
      <c r="J2440" s="14">
        <v>0</v>
      </c>
      <c r="K2440" s="15" t="str">
        <f>HYPERLINK("http://twitter.com/download/android","Twitter for Android")</f>
        <v>Twitter for Android</v>
      </c>
      <c r="L2440" s="14">
        <v>356</v>
      </c>
      <c r="M2440" s="14">
        <v>1977</v>
      </c>
      <c r="N2440" s="14">
        <v>8</v>
      </c>
      <c r="O2440" s="16"/>
      <c r="P2440" s="6">
        <v>40940.085185185184</v>
      </c>
      <c r="Q2440" s="12" t="s">
        <v>3707</v>
      </c>
      <c r="R2440" s="17" t="s">
        <v>6462</v>
      </c>
      <c r="S2440" s="11"/>
      <c r="T2440" s="11"/>
      <c r="U2440" s="10" t="str">
        <f>HYPERLINK("https://pbs.twimg.com/profile_images/764514415668502528/0PKR6kAm.jpg","View")</f>
        <v>View</v>
      </c>
    </row>
    <row r="2441" spans="1:21" ht="40.799999999999997">
      <c r="A2441" s="6">
        <v>43438.377743055556</v>
      </c>
      <c r="B2441" s="7" t="str">
        <f>HYPERLINK("https://twitter.com/MirandaElUnive1","@MirandaElUnive1")</f>
        <v>@MirandaElUnive1</v>
      </c>
      <c r="C2441" s="8" t="s">
        <v>8026</v>
      </c>
      <c r="D2441" s="9" t="s">
        <v>8027</v>
      </c>
      <c r="E2441" s="10" t="str">
        <f>HYPERLINK("https://twitter.com/MirandaElUnive1/status/1069864873599950849","1069864873599950849")</f>
        <v>1069864873599950849</v>
      </c>
      <c r="F2441" s="11"/>
      <c r="G2441" s="11"/>
      <c r="H2441" s="11"/>
      <c r="I2441" s="14">
        <v>3</v>
      </c>
      <c r="J2441" s="14">
        <v>3</v>
      </c>
      <c r="K2441" s="15" t="str">
        <f>HYPERLINK("http://twitter.com/download/iphone","Twitter for iPhone")</f>
        <v>Twitter for iPhone</v>
      </c>
      <c r="L2441" s="14">
        <v>50</v>
      </c>
      <c r="M2441" s="14">
        <v>123</v>
      </c>
      <c r="N2441" s="14">
        <v>0</v>
      </c>
      <c r="O2441" s="16"/>
      <c r="P2441" s="6">
        <v>43372.0472337963</v>
      </c>
      <c r="Q2441" s="11"/>
      <c r="R2441" s="17" t="s">
        <v>8034</v>
      </c>
      <c r="S2441" s="11"/>
      <c r="T2441" s="11"/>
      <c r="U2441" s="10" t="str">
        <f>HYPERLINK("https://pbs.twimg.com/profile_images/1064873450056179712/Pj1dghAV.jpg","View")</f>
        <v>View</v>
      </c>
    </row>
    <row r="2442" spans="1:21" ht="40.799999999999997">
      <c r="A2442" s="6">
        <v>43438.37700231481</v>
      </c>
      <c r="B2442" s="7" t="str">
        <f>HYPERLINK("https://twitter.com/Isra__X7","@Isra__X7")</f>
        <v>@Isra__X7</v>
      </c>
      <c r="C2442" s="8" t="s">
        <v>8035</v>
      </c>
      <c r="D2442" s="9" t="s">
        <v>8036</v>
      </c>
      <c r="E2442" s="10" t="str">
        <f>HYPERLINK("https://twitter.com/Isra__X7/status/1069864602467528705","1069864602467528705")</f>
        <v>1069864602467528705</v>
      </c>
      <c r="F2442" s="11"/>
      <c r="G2442" s="11"/>
      <c r="H2442" s="11"/>
      <c r="I2442" s="14">
        <v>0</v>
      </c>
      <c r="J2442" s="14">
        <v>0</v>
      </c>
      <c r="K2442" s="15" t="str">
        <f>HYPERLINK("http://twitter.com/download/android","Twitter for Android")</f>
        <v>Twitter for Android</v>
      </c>
      <c r="L2442" s="14">
        <v>402</v>
      </c>
      <c r="M2442" s="14">
        <v>327</v>
      </c>
      <c r="N2442" s="14">
        <v>8</v>
      </c>
      <c r="O2442" s="16"/>
      <c r="P2442" s="6">
        <v>42362.836192129631</v>
      </c>
      <c r="Q2442" s="12" t="s">
        <v>8037</v>
      </c>
      <c r="R2442" s="17" t="s">
        <v>8038</v>
      </c>
      <c r="S2442" s="11"/>
      <c r="T2442" s="11"/>
      <c r="U2442" s="10" t="str">
        <f>HYPERLINK("https://pbs.twimg.com/profile_images/907333341615190016/6TU_1A4I.jpg","View")</f>
        <v>View</v>
      </c>
    </row>
    <row r="2443" spans="1:21" ht="40.799999999999997">
      <c r="A2443" s="6">
        <v>43438.375694444447</v>
      </c>
      <c r="B2443" s="7" t="str">
        <f>HYPERLINK("https://twitter.com/CiutadansCs","@CiutadansCs")</f>
        <v>@CiutadansCs</v>
      </c>
      <c r="C2443" s="8" t="s">
        <v>2635</v>
      </c>
      <c r="D2443" s="9" t="s">
        <v>8041</v>
      </c>
      <c r="E2443" s="10" t="str">
        <f>HYPERLINK("https://twitter.com/CiutadansCs/status/1069864131040292866","1069864131040292866")</f>
        <v>1069864131040292866</v>
      </c>
      <c r="F2443" s="11"/>
      <c r="G2443" s="13" t="s">
        <v>8043</v>
      </c>
      <c r="H2443" s="11"/>
      <c r="I2443" s="14">
        <v>28</v>
      </c>
      <c r="J2443" s="14">
        <v>37</v>
      </c>
      <c r="K2443" s="15" t="str">
        <f>HYPERLINK("http://twitter.com/download/iphone","Twitter for iPhone")</f>
        <v>Twitter for iPhone</v>
      </c>
      <c r="L2443" s="14">
        <v>21904</v>
      </c>
      <c r="M2443" s="14">
        <v>2558</v>
      </c>
      <c r="N2443" s="14">
        <v>294</v>
      </c>
      <c r="O2443" s="19" t="s">
        <v>42</v>
      </c>
      <c r="P2443" s="6">
        <v>41884.461458333331</v>
      </c>
      <c r="Q2443" s="12" t="s">
        <v>2638</v>
      </c>
      <c r="R2443" s="17" t="s">
        <v>2639</v>
      </c>
      <c r="S2443" s="13" t="s">
        <v>822</v>
      </c>
      <c r="T2443" s="11"/>
      <c r="U2443" s="10" t="str">
        <f>HYPERLINK("https://pbs.twimg.com/profile_images/1053570460867289088/YHy8eYee.png","View")</f>
        <v>View</v>
      </c>
    </row>
    <row r="2444" spans="1:21" ht="71.400000000000006">
      <c r="A2444" s="6">
        <v>43438.375578703708</v>
      </c>
      <c r="B2444" s="7" t="str">
        <f>HYPERLINK("https://twitter.com/tuitiritran","@tuitiritran")</f>
        <v>@tuitiritran</v>
      </c>
      <c r="C2444" s="8" t="s">
        <v>8044</v>
      </c>
      <c r="D2444" s="9" t="s">
        <v>8045</v>
      </c>
      <c r="E2444" s="10" t="str">
        <f>HYPERLINK("https://twitter.com/tuitiritran/status/1069864087868375042","1069864087868375042")</f>
        <v>1069864087868375042</v>
      </c>
      <c r="F2444" s="13" t="s">
        <v>6219</v>
      </c>
      <c r="G2444" s="11"/>
      <c r="H2444" s="11"/>
      <c r="I2444" s="14">
        <v>0</v>
      </c>
      <c r="J2444" s="14">
        <v>0</v>
      </c>
      <c r="K2444" s="15" t="str">
        <f>HYPERLINK("http://twitter.com","Twitter Web Client")</f>
        <v>Twitter Web Client</v>
      </c>
      <c r="L2444" s="14">
        <v>392</v>
      </c>
      <c r="M2444" s="14">
        <v>229</v>
      </c>
      <c r="N2444" s="14">
        <v>2</v>
      </c>
      <c r="O2444" s="16"/>
      <c r="P2444" s="6">
        <v>43044.588229166664</v>
      </c>
      <c r="Q2444" s="12" t="s">
        <v>5870</v>
      </c>
      <c r="R2444" s="17" t="s">
        <v>8046</v>
      </c>
      <c r="S2444" s="11"/>
      <c r="T2444" s="11"/>
      <c r="U2444" s="10" t="str">
        <f>HYPERLINK("https://pbs.twimg.com/profile_images/1000008540818477056/2g7AxKL8.jpg","View")</f>
        <v>View</v>
      </c>
    </row>
    <row r="2445" spans="1:21" ht="102">
      <c r="A2445" s="6">
        <v>43438.375428240739</v>
      </c>
      <c r="B2445" s="7" t="str">
        <f>HYPERLINK("https://twitter.com/OEquidad","@OEquidad")</f>
        <v>@OEquidad</v>
      </c>
      <c r="C2445" s="8" t="s">
        <v>5644</v>
      </c>
      <c r="D2445" s="9" t="s">
        <v>8049</v>
      </c>
      <c r="E2445" s="10" t="str">
        <f>HYPERLINK("https://twitter.com/OEquidad/status/1069864034323845120","1069864034323845120")</f>
        <v>1069864034323845120</v>
      </c>
      <c r="F2445" s="12" t="s">
        <v>7086</v>
      </c>
      <c r="G2445" s="11"/>
      <c r="H2445" s="11"/>
      <c r="I2445" s="14">
        <v>0</v>
      </c>
      <c r="J2445" s="14">
        <v>0</v>
      </c>
      <c r="K2445" s="15" t="str">
        <f t="shared" ref="K2445:K2446" si="482">HYPERLINK("http://twitter.com/download/iphone","Twitter for iPhone")</f>
        <v>Twitter for iPhone</v>
      </c>
      <c r="L2445" s="14">
        <v>148</v>
      </c>
      <c r="M2445" s="14">
        <v>701</v>
      </c>
      <c r="N2445" s="14">
        <v>0</v>
      </c>
      <c r="O2445" s="16"/>
      <c r="P2445" s="6">
        <v>43329.579606481479</v>
      </c>
      <c r="Q2445" s="12" t="s">
        <v>60</v>
      </c>
      <c r="R2445" s="17" t="s">
        <v>5648</v>
      </c>
      <c r="S2445" s="11"/>
      <c r="T2445" s="11"/>
      <c r="U2445" s="10" t="str">
        <f>HYPERLINK("https://pbs.twimg.com/profile_images/1030476800353337345/uFi5OkNW.jpg","View")</f>
        <v>View</v>
      </c>
    </row>
    <row r="2446" spans="1:21" ht="40.799999999999997">
      <c r="A2446" s="6">
        <v>43438.374791666662</v>
      </c>
      <c r="B2446" s="7" t="str">
        <f>HYPERLINK("https://twitter.com/AidaMoore","@AidaMoore")</f>
        <v>@AidaMoore</v>
      </c>
      <c r="C2446" s="8" t="s">
        <v>8056</v>
      </c>
      <c r="D2446" s="9" t="s">
        <v>8057</v>
      </c>
      <c r="E2446" s="10" t="str">
        <f>HYPERLINK("https://twitter.com/AidaMoore/status/1069863804358549505","1069863804358549505")</f>
        <v>1069863804358549505</v>
      </c>
      <c r="F2446" s="11"/>
      <c r="G2446" s="11"/>
      <c r="H2446" s="11"/>
      <c r="I2446" s="14">
        <v>0</v>
      </c>
      <c r="J2446" s="14">
        <v>0</v>
      </c>
      <c r="K2446" s="15" t="str">
        <f t="shared" si="482"/>
        <v>Twitter for iPhone</v>
      </c>
      <c r="L2446" s="14">
        <v>30</v>
      </c>
      <c r="M2446" s="14">
        <v>156</v>
      </c>
      <c r="N2446" s="14">
        <v>1</v>
      </c>
      <c r="O2446" s="16"/>
      <c r="P2446" s="6">
        <v>40855.467731481483</v>
      </c>
      <c r="Q2446" s="12" t="s">
        <v>8058</v>
      </c>
      <c r="R2446" s="17" t="s">
        <v>8059</v>
      </c>
      <c r="S2446" s="11"/>
      <c r="T2446" s="11"/>
      <c r="U2446" s="10" t="str">
        <f>HYPERLINK("https://pbs.twimg.com/profile_images/2219193140/image.jpg","View")</f>
        <v>View</v>
      </c>
    </row>
    <row r="2447" spans="1:21" ht="40.799999999999997">
      <c r="A2447" s="6">
        <v>43438.374259259261</v>
      </c>
      <c r="B2447" s="7" t="str">
        <f>HYPERLINK("https://twitter.com/LaleCampos","@LaleCampos")</f>
        <v>@LaleCampos</v>
      </c>
      <c r="C2447" s="8" t="s">
        <v>8060</v>
      </c>
      <c r="D2447" s="9" t="s">
        <v>8061</v>
      </c>
      <c r="E2447" s="10" t="str">
        <f>HYPERLINK("https://twitter.com/LaleCampos/status/1069863611064041474","1069863611064041474")</f>
        <v>1069863611064041474</v>
      </c>
      <c r="F2447" s="13" t="s">
        <v>8062</v>
      </c>
      <c r="G2447" s="11"/>
      <c r="H2447" s="11"/>
      <c r="I2447" s="14">
        <v>0</v>
      </c>
      <c r="J2447" s="14">
        <v>0</v>
      </c>
      <c r="K2447" s="15" t="str">
        <f>HYPERLINK("http://twitter.com/download/android","Twitter for Android")</f>
        <v>Twitter for Android</v>
      </c>
      <c r="L2447" s="14">
        <v>1637</v>
      </c>
      <c r="M2447" s="14">
        <v>187</v>
      </c>
      <c r="N2447" s="14">
        <v>3</v>
      </c>
      <c r="O2447" s="16"/>
      <c r="P2447" s="6">
        <v>41106.938738425924</v>
      </c>
      <c r="Q2447" s="12" t="s">
        <v>8065</v>
      </c>
      <c r="R2447" s="17" t="s">
        <v>8066</v>
      </c>
      <c r="S2447" s="13" t="s">
        <v>8067</v>
      </c>
      <c r="T2447" s="11"/>
      <c r="U2447" s="10" t="str">
        <f>HYPERLINK("https://pbs.twimg.com/profile_images/860577531564576768/g3tAR7im.jpg","View")</f>
        <v>View</v>
      </c>
    </row>
    <row r="2448" spans="1:21" ht="61.2">
      <c r="A2448" s="6">
        <v>43438.372673611113</v>
      </c>
      <c r="B2448" s="7" t="str">
        <f>HYPERLINK("https://twitter.com/CactusRM","@CactusRM")</f>
        <v>@CactusRM</v>
      </c>
      <c r="C2448" s="8" t="s">
        <v>8069</v>
      </c>
      <c r="D2448" s="9" t="s">
        <v>8070</v>
      </c>
      <c r="E2448" s="10" t="str">
        <f>HYPERLINK("https://twitter.com/CactusRM/status/1069863034053648384","1069863034053648384")</f>
        <v>1069863034053648384</v>
      </c>
      <c r="F2448" s="12" t="s">
        <v>8072</v>
      </c>
      <c r="G2448" s="13" t="s">
        <v>8073</v>
      </c>
      <c r="H2448" s="11"/>
      <c r="I2448" s="14">
        <v>0</v>
      </c>
      <c r="J2448" s="14">
        <v>0</v>
      </c>
      <c r="K2448" s="15" t="str">
        <f>HYPERLINK("http://twitter.com","Twitter Web Client")</f>
        <v>Twitter Web Client</v>
      </c>
      <c r="L2448" s="14">
        <v>893</v>
      </c>
      <c r="M2448" s="14">
        <v>308</v>
      </c>
      <c r="N2448" s="14">
        <v>5</v>
      </c>
      <c r="O2448" s="16"/>
      <c r="P2448" s="6">
        <v>41499.733935185184</v>
      </c>
      <c r="Q2448" s="12" t="s">
        <v>8077</v>
      </c>
      <c r="R2448" s="17" t="s">
        <v>8078</v>
      </c>
      <c r="S2448" s="13" t="s">
        <v>8079</v>
      </c>
      <c r="T2448" s="11"/>
      <c r="U2448" s="10" t="str">
        <f>HYPERLINK("https://pbs.twimg.com/profile_images/1044880113240866821/9oauduLD.jpg","View")</f>
        <v>View</v>
      </c>
    </row>
    <row r="2449" spans="1:21" ht="20.399999999999999">
      <c r="A2449" s="6">
        <v>43438.372118055559</v>
      </c>
      <c r="B2449" s="7" t="str">
        <f>HYPERLINK("https://twitter.com/alexfahrenheart","@alexfahrenheart")</f>
        <v>@alexfahrenheart</v>
      </c>
      <c r="C2449" s="8" t="s">
        <v>8610</v>
      </c>
      <c r="D2449" s="9" t="s">
        <v>8611</v>
      </c>
      <c r="E2449" s="10" t="str">
        <f>HYPERLINK("https://twitter.com/alexfahrenheart/status/1069862832852922368","1069862832852922368")</f>
        <v>1069862832852922368</v>
      </c>
      <c r="F2449" s="11"/>
      <c r="G2449" s="11"/>
      <c r="H2449" s="11"/>
      <c r="I2449" s="14">
        <v>0</v>
      </c>
      <c r="J2449" s="14">
        <v>2</v>
      </c>
      <c r="K2449" s="15" t="str">
        <f t="shared" ref="K2449:K2450" si="483">HYPERLINK("http://twitter.com/download/android","Twitter for Android")</f>
        <v>Twitter for Android</v>
      </c>
      <c r="L2449" s="14">
        <v>107</v>
      </c>
      <c r="M2449" s="14">
        <v>216</v>
      </c>
      <c r="N2449" s="14">
        <v>1</v>
      </c>
      <c r="O2449" s="16"/>
      <c r="P2449" s="6">
        <v>40775.602962962963</v>
      </c>
      <c r="Q2449" s="11"/>
      <c r="R2449" s="17" t="s">
        <v>8612</v>
      </c>
      <c r="S2449" s="11"/>
      <c r="T2449" s="11"/>
      <c r="U2449" s="10" t="str">
        <f>HYPERLINK("https://pbs.twimg.com/profile_images/1065748354586431489/SRJ0Av2t.jpg","View")</f>
        <v>View</v>
      </c>
    </row>
    <row r="2450" spans="1:21" ht="30.6">
      <c r="A2450" s="6">
        <v>43438.371469907404</v>
      </c>
      <c r="B2450" s="7" t="str">
        <f>HYPERLINK("https://twitter.com/__elsordomudo","@__elsordomudo")</f>
        <v>@__elsordomudo</v>
      </c>
      <c r="C2450" s="8" t="s">
        <v>8613</v>
      </c>
      <c r="D2450" s="9" t="s">
        <v>8614</v>
      </c>
      <c r="E2450" s="10" t="str">
        <f>HYPERLINK("https://twitter.com/__elsordomudo/status/1069862598240284672","1069862598240284672")</f>
        <v>1069862598240284672</v>
      </c>
      <c r="F2450" s="11"/>
      <c r="G2450" s="11"/>
      <c r="H2450" s="11"/>
      <c r="I2450" s="14">
        <v>0</v>
      </c>
      <c r="J2450" s="14">
        <v>0</v>
      </c>
      <c r="K2450" s="15" t="str">
        <f t="shared" si="483"/>
        <v>Twitter for Android</v>
      </c>
      <c r="L2450" s="14">
        <v>167</v>
      </c>
      <c r="M2450" s="14">
        <v>1663</v>
      </c>
      <c r="N2450" s="14">
        <v>4</v>
      </c>
      <c r="O2450" s="16"/>
      <c r="P2450" s="6">
        <v>42578.075624999998</v>
      </c>
      <c r="Q2450" s="11"/>
      <c r="R2450" s="17" t="s">
        <v>8615</v>
      </c>
      <c r="S2450" s="13" t="s">
        <v>8616</v>
      </c>
      <c r="T2450" s="11"/>
      <c r="U2450" s="10" t="str">
        <f>HYPERLINK("https://pbs.twimg.com/profile_images/1059134630459330562/wVtTFbTT.jpg","View")</f>
        <v>View</v>
      </c>
    </row>
    <row r="2451" spans="1:21" ht="102">
      <c r="A2451" s="6">
        <v>43438.370624999996</v>
      </c>
      <c r="B2451" s="7" t="str">
        <f>HYPERLINK("https://twitter.com/HijoDePastrana","@HijoDePastrana")</f>
        <v>@HijoDePastrana</v>
      </c>
      <c r="C2451" s="8" t="s">
        <v>8617</v>
      </c>
      <c r="D2451" s="9" t="s">
        <v>8618</v>
      </c>
      <c r="E2451" s="10" t="str">
        <f>HYPERLINK("https://twitter.com/HijoDePastrana/status/1069862293448601601","1069862293448601601")</f>
        <v>1069862293448601601</v>
      </c>
      <c r="F2451" s="13" t="s">
        <v>8291</v>
      </c>
      <c r="G2451" s="13" t="s">
        <v>6816</v>
      </c>
      <c r="H2451" s="11"/>
      <c r="I2451" s="14">
        <v>27</v>
      </c>
      <c r="J2451" s="14">
        <v>43</v>
      </c>
      <c r="K2451" s="15" t="str">
        <f>HYPERLINK("http://twitter.com/download/iphone","Twitter for iPhone")</f>
        <v>Twitter for iPhone</v>
      </c>
      <c r="L2451" s="14">
        <v>2722</v>
      </c>
      <c r="M2451" s="14">
        <v>681</v>
      </c>
      <c r="N2451" s="14">
        <v>11</v>
      </c>
      <c r="O2451" s="16"/>
      <c r="P2451" s="6">
        <v>43140.654976851853</v>
      </c>
      <c r="Q2451" s="12" t="s">
        <v>137</v>
      </c>
      <c r="R2451" s="17" t="s">
        <v>8619</v>
      </c>
      <c r="S2451" s="11"/>
      <c r="T2451" s="11"/>
      <c r="U2451" s="10" t="str">
        <f>HYPERLINK("https://pbs.twimg.com/profile_images/969902984753811457/7Mz2ACOG.jpg","View")</f>
        <v>View</v>
      </c>
    </row>
    <row r="2452" spans="1:21" ht="40.799999999999997">
      <c r="A2452" s="6">
        <v>43438.36996527778</v>
      </c>
      <c r="B2452" s="7" t="str">
        <f>HYPERLINK("https://twitter.com/Pasto_es_verde","@Pasto_es_verde")</f>
        <v>@Pasto_es_verde</v>
      </c>
      <c r="C2452" s="8" t="s">
        <v>3531</v>
      </c>
      <c r="D2452" s="9" t="s">
        <v>8080</v>
      </c>
      <c r="E2452" s="10" t="str">
        <f>HYPERLINK("https://twitter.com/Pasto_es_verde/status/1069862052817190914","1069862052817190914")</f>
        <v>1069862052817190914</v>
      </c>
      <c r="F2452" s="11"/>
      <c r="G2452" s="11"/>
      <c r="H2452" s="11"/>
      <c r="I2452" s="14">
        <v>0</v>
      </c>
      <c r="J2452" s="14">
        <v>0</v>
      </c>
      <c r="K2452" s="15" t="str">
        <f>HYPERLINK("https://mobile.twitter.com","Twitter Lite")</f>
        <v>Twitter Lite</v>
      </c>
      <c r="L2452" s="14">
        <v>262</v>
      </c>
      <c r="M2452" s="14">
        <v>327</v>
      </c>
      <c r="N2452" s="14">
        <v>16</v>
      </c>
      <c r="O2452" s="16"/>
      <c r="P2452" s="6">
        <v>40424.621192129627</v>
      </c>
      <c r="Q2452" s="12" t="s">
        <v>187</v>
      </c>
      <c r="R2452" s="17" t="s">
        <v>3540</v>
      </c>
      <c r="S2452" s="11"/>
      <c r="T2452" s="11"/>
      <c r="U2452" s="10" t="str">
        <f>HYPERLINK("https://pbs.twimg.com/profile_images/1057695601075384320/6XTBGhcw.jpg","View")</f>
        <v>View</v>
      </c>
    </row>
    <row r="2453" spans="1:21" ht="102">
      <c r="A2453" s="6">
        <v>43438.36818287037</v>
      </c>
      <c r="B2453" s="7" t="str">
        <f>HYPERLINK("https://twitter.com/galileahejlt","@galileahejlt")</f>
        <v>@galileahejlt</v>
      </c>
      <c r="C2453" s="8" t="s">
        <v>8083</v>
      </c>
      <c r="D2453" s="9" t="s">
        <v>8085</v>
      </c>
      <c r="E2453" s="10" t="str">
        <f>HYPERLINK("https://twitter.com/galileahejlt/status/1069861406961471488","1069861406961471488")</f>
        <v>1069861406961471488</v>
      </c>
      <c r="F2453" s="12" t="s">
        <v>8086</v>
      </c>
      <c r="G2453" s="11"/>
      <c r="H2453" s="11"/>
      <c r="I2453" s="14">
        <v>0</v>
      </c>
      <c r="J2453" s="14">
        <v>0</v>
      </c>
      <c r="K2453" s="15" t="str">
        <f>HYPERLINK("http://twitter.com/download/android","Twitter for Android")</f>
        <v>Twitter for Android</v>
      </c>
      <c r="L2453" s="14">
        <v>80</v>
      </c>
      <c r="M2453" s="14">
        <v>319</v>
      </c>
      <c r="N2453" s="14">
        <v>1</v>
      </c>
      <c r="O2453" s="16"/>
      <c r="P2453" s="6">
        <v>41142.993993055556</v>
      </c>
      <c r="Q2453" s="11"/>
      <c r="R2453" s="17" t="s">
        <v>8089</v>
      </c>
      <c r="S2453" s="11"/>
      <c r="T2453" s="11"/>
      <c r="U2453" s="10" t="str">
        <f>HYPERLINK("https://pbs.twimg.com/profile_images/594414992100823040/0Xvdl4iq.jpg","View")</f>
        <v>View</v>
      </c>
    </row>
    <row r="2454" spans="1:21" ht="20.399999999999999">
      <c r="A2454" s="6">
        <v>43438.365127314813</v>
      </c>
      <c r="B2454" s="7" t="str">
        <f>HYPERLINK("https://twitter.com/merzouga2","@merzouga2")</f>
        <v>@merzouga2</v>
      </c>
      <c r="C2454" s="8" t="s">
        <v>8090</v>
      </c>
      <c r="D2454" s="9" t="s">
        <v>8091</v>
      </c>
      <c r="E2454" s="10" t="str">
        <f>HYPERLINK("https://twitter.com/merzouga2/status/1069860300344700928","1069860300344700928")</f>
        <v>1069860300344700928</v>
      </c>
      <c r="F2454" s="11"/>
      <c r="G2454" s="11"/>
      <c r="H2454" s="11"/>
      <c r="I2454" s="14">
        <v>0</v>
      </c>
      <c r="J2454" s="14">
        <v>0</v>
      </c>
      <c r="K2454" s="15" t="str">
        <f t="shared" ref="K2454:K2455" si="484">HYPERLINK("http://twitter.com/download/iphone","Twitter for iPhone")</f>
        <v>Twitter for iPhone</v>
      </c>
      <c r="L2454" s="14">
        <v>44</v>
      </c>
      <c r="M2454" s="14">
        <v>153</v>
      </c>
      <c r="N2454" s="14">
        <v>0</v>
      </c>
      <c r="O2454" s="16"/>
      <c r="P2454" s="6">
        <v>40316.335081018522</v>
      </c>
      <c r="Q2454" s="12" t="s">
        <v>8095</v>
      </c>
      <c r="R2454" s="17" t="s">
        <v>8096</v>
      </c>
      <c r="S2454" s="11"/>
      <c r="T2454" s="11"/>
      <c r="U2454" s="10" t="str">
        <f>HYPERLINK("https://pbs.twimg.com/profile_images/914381975812702208/hw1fN7WB.jpg","View")</f>
        <v>View</v>
      </c>
    </row>
    <row r="2455" spans="1:21" ht="51">
      <c r="A2455" s="6">
        <v>43438.364872685182</v>
      </c>
      <c r="B2455" s="7" t="str">
        <f>HYPERLINK("https://twitter.com/carinho9","@carinho9")</f>
        <v>@carinho9</v>
      </c>
      <c r="C2455" s="20" t="s">
        <v>8097</v>
      </c>
      <c r="D2455" s="9" t="s">
        <v>8098</v>
      </c>
      <c r="E2455" s="10" t="str">
        <f>HYPERLINK("https://twitter.com/carinho9/status/1069860209642881024","1069860209642881024")</f>
        <v>1069860209642881024</v>
      </c>
      <c r="F2455" s="11"/>
      <c r="G2455" s="13" t="s">
        <v>8099</v>
      </c>
      <c r="H2455" s="11"/>
      <c r="I2455" s="14">
        <v>0</v>
      </c>
      <c r="J2455" s="14">
        <v>1</v>
      </c>
      <c r="K2455" s="15" t="str">
        <f t="shared" si="484"/>
        <v>Twitter for iPhone</v>
      </c>
      <c r="L2455" s="14">
        <v>3877</v>
      </c>
      <c r="M2455" s="14">
        <v>2060</v>
      </c>
      <c r="N2455" s="14">
        <v>64</v>
      </c>
      <c r="O2455" s="16"/>
      <c r="P2455" s="6">
        <v>40017.019062499996</v>
      </c>
      <c r="Q2455" s="12" t="s">
        <v>8100</v>
      </c>
      <c r="R2455" s="17" t="s">
        <v>8101</v>
      </c>
      <c r="S2455" s="13" t="s">
        <v>8102</v>
      </c>
      <c r="T2455" s="11"/>
      <c r="U2455" s="10" t="str">
        <f>HYPERLINK("https://pbs.twimg.com/profile_images/1064076790568767488/bn2M5rFI.jpg","View")</f>
        <v>View</v>
      </c>
    </row>
    <row r="2456" spans="1:21" ht="30.6">
      <c r="A2456" s="6">
        <v>43438.364259259259</v>
      </c>
      <c r="B2456" s="7" t="str">
        <f>HYPERLINK("https://twitter.com/Deivitron84","@Deivitron84")</f>
        <v>@Deivitron84</v>
      </c>
      <c r="C2456" s="8" t="s">
        <v>8620</v>
      </c>
      <c r="D2456" s="9" t="s">
        <v>8621</v>
      </c>
      <c r="E2456" s="10" t="str">
        <f>HYPERLINK("https://twitter.com/Deivitron84/status/1069859984689819648","1069859984689819648")</f>
        <v>1069859984689819648</v>
      </c>
      <c r="F2456" s="11"/>
      <c r="G2456" s="11"/>
      <c r="H2456" s="11"/>
      <c r="I2456" s="14">
        <v>0</v>
      </c>
      <c r="J2456" s="14">
        <v>0</v>
      </c>
      <c r="K2456" s="15" t="str">
        <f>HYPERLINK("http://twitter.com","Twitter Web Client")</f>
        <v>Twitter Web Client</v>
      </c>
      <c r="L2456" s="14">
        <v>97</v>
      </c>
      <c r="M2456" s="14">
        <v>122</v>
      </c>
      <c r="N2456" s="14">
        <v>1</v>
      </c>
      <c r="O2456" s="16"/>
      <c r="P2456" s="6">
        <v>41240.365405092591</v>
      </c>
      <c r="Q2456" s="12" t="s">
        <v>8622</v>
      </c>
      <c r="R2456" s="17" t="s">
        <v>8623</v>
      </c>
      <c r="S2456" s="13" t="s">
        <v>8624</v>
      </c>
      <c r="T2456" s="11"/>
      <c r="U2456" s="10" t="str">
        <f>HYPERLINK("https://pbs.twimg.com/profile_images/931720027899908097/VJplEXSb.jpg","View")</f>
        <v>View</v>
      </c>
    </row>
    <row r="2457" spans="1:21" ht="51">
      <c r="A2457" s="6">
        <v>43438.356909722221</v>
      </c>
      <c r="B2457" s="7" t="str">
        <f>HYPERLINK("https://twitter.com/victorguinot","@victorguinot")</f>
        <v>@victorguinot</v>
      </c>
      <c r="C2457" s="8" t="s">
        <v>8625</v>
      </c>
      <c r="D2457" s="9" t="s">
        <v>8626</v>
      </c>
      <c r="E2457" s="10" t="str">
        <f>HYPERLINK("https://twitter.com/victorguinot/status/1069857321940107264","1069857321940107264")</f>
        <v>1069857321940107264</v>
      </c>
      <c r="F2457" s="11"/>
      <c r="G2457" s="11"/>
      <c r="H2457" s="11"/>
      <c r="I2457" s="14">
        <v>5</v>
      </c>
      <c r="J2457" s="14">
        <v>11</v>
      </c>
      <c r="K2457" s="15" t="str">
        <f t="shared" ref="K2457:K2459" si="485">HYPERLINK("http://twitter.com/download/iphone","Twitter for iPhone")</f>
        <v>Twitter for iPhone</v>
      </c>
      <c r="L2457" s="14">
        <v>1864</v>
      </c>
      <c r="M2457" s="14">
        <v>1324</v>
      </c>
      <c r="N2457" s="14">
        <v>22</v>
      </c>
      <c r="O2457" s="16"/>
      <c r="P2457" s="6">
        <v>40276.794247685189</v>
      </c>
      <c r="Q2457" s="12" t="s">
        <v>8627</v>
      </c>
      <c r="R2457" s="17" t="s">
        <v>8628</v>
      </c>
      <c r="S2457" s="11"/>
      <c r="T2457" s="11"/>
      <c r="U2457" s="10" t="str">
        <f>HYPERLINK("https://pbs.twimg.com/profile_images/1022020313884835840/3W7hk1u9.jpg","View")</f>
        <v>View</v>
      </c>
    </row>
    <row r="2458" spans="1:21" ht="51">
      <c r="A2458" s="6">
        <v>43438.355532407411</v>
      </c>
      <c r="B2458" s="7" t="str">
        <f>HYPERLINK("https://twitter.com/Yolanda18691613","@Yolanda18691613")</f>
        <v>@Yolanda18691613</v>
      </c>
      <c r="C2458" s="8" t="s">
        <v>568</v>
      </c>
      <c r="D2458" s="9" t="s">
        <v>8103</v>
      </c>
      <c r="E2458" s="10" t="str">
        <f>HYPERLINK("https://twitter.com/Yolanda18691613/status/1069856824168452097","1069856824168452097")</f>
        <v>1069856824168452097</v>
      </c>
      <c r="F2458" s="13" t="s">
        <v>8104</v>
      </c>
      <c r="G2458" s="11"/>
      <c r="H2458" s="11"/>
      <c r="I2458" s="14">
        <v>0</v>
      </c>
      <c r="J2458" s="14">
        <v>0</v>
      </c>
      <c r="K2458" s="15" t="str">
        <f t="shared" si="485"/>
        <v>Twitter for iPhone</v>
      </c>
      <c r="L2458" s="14">
        <v>163</v>
      </c>
      <c r="M2458" s="14">
        <v>623</v>
      </c>
      <c r="N2458" s="14">
        <v>2</v>
      </c>
      <c r="O2458" s="16"/>
      <c r="P2458" s="6">
        <v>42168.488298611112</v>
      </c>
      <c r="Q2458" s="11"/>
      <c r="R2458" s="18"/>
      <c r="S2458" s="11"/>
      <c r="T2458" s="11"/>
      <c r="U2458" s="10" t="str">
        <f>HYPERLINK("https://pbs.twimg.com/profile_images/1067165433873252363/vAhc-aPk.jpg","View")</f>
        <v>View</v>
      </c>
    </row>
    <row r="2459" spans="1:21" ht="71.400000000000006">
      <c r="A2459" s="6">
        <v>43438.355266203704</v>
      </c>
      <c r="B2459" s="7" t="str">
        <f>HYPERLINK("https://twitter.com/EduCorregidor","@EduCorregidor")</f>
        <v>@EduCorregidor</v>
      </c>
      <c r="C2459" s="8" t="s">
        <v>8106</v>
      </c>
      <c r="D2459" s="9" t="s">
        <v>8107</v>
      </c>
      <c r="E2459" s="10" t="str">
        <f>HYPERLINK("https://twitter.com/EduCorregidor/status/1069856727477223424","1069856727477223424")</f>
        <v>1069856727477223424</v>
      </c>
      <c r="F2459" s="12" t="s">
        <v>8110</v>
      </c>
      <c r="G2459" s="13" t="s">
        <v>8111</v>
      </c>
      <c r="H2459" s="11"/>
      <c r="I2459" s="14">
        <v>0</v>
      </c>
      <c r="J2459" s="14">
        <v>0</v>
      </c>
      <c r="K2459" s="15" t="str">
        <f t="shared" si="485"/>
        <v>Twitter for iPhone</v>
      </c>
      <c r="L2459" s="14">
        <v>49</v>
      </c>
      <c r="M2459" s="14">
        <v>210</v>
      </c>
      <c r="N2459" s="14">
        <v>2</v>
      </c>
      <c r="O2459" s="16"/>
      <c r="P2459" s="6">
        <v>42952.441689814819</v>
      </c>
      <c r="Q2459" s="12" t="s">
        <v>137</v>
      </c>
      <c r="R2459" s="17" t="s">
        <v>8112</v>
      </c>
      <c r="S2459" s="11"/>
      <c r="T2459" s="11"/>
      <c r="U2459" s="10" t="str">
        <f>HYPERLINK("https://pbs.twimg.com/profile_images/893779304747814912/_9Vh35_j.jpg","View")</f>
        <v>View</v>
      </c>
    </row>
    <row r="2460" spans="1:21" ht="40.799999999999997">
      <c r="A2460" s="6">
        <v>43438.34988425926</v>
      </c>
      <c r="B2460" s="7" t="str">
        <f>HYPERLINK("https://twitter.com/frelimpio","@frelimpio")</f>
        <v>@frelimpio</v>
      </c>
      <c r="C2460" s="8" t="s">
        <v>5725</v>
      </c>
      <c r="D2460" s="9" t="s">
        <v>8114</v>
      </c>
      <c r="E2460" s="10" t="str">
        <f>HYPERLINK("https://twitter.com/frelimpio/status/1069854778094686208","1069854778094686208")</f>
        <v>1069854778094686208</v>
      </c>
      <c r="F2460" s="11"/>
      <c r="G2460" s="13" t="s">
        <v>8115</v>
      </c>
      <c r="H2460" s="11"/>
      <c r="I2460" s="14">
        <v>0</v>
      </c>
      <c r="J2460" s="14">
        <v>0</v>
      </c>
      <c r="K2460" s="15" t="str">
        <f>HYPERLINK("http://twitter.com/download/android","Twitter for Android")</f>
        <v>Twitter for Android</v>
      </c>
      <c r="L2460" s="14">
        <v>3250</v>
      </c>
      <c r="M2460" s="14">
        <v>2740</v>
      </c>
      <c r="N2460" s="14">
        <v>113</v>
      </c>
      <c r="O2460" s="16"/>
      <c r="P2460" s="6">
        <v>40490.382824074077</v>
      </c>
      <c r="Q2460" s="12" t="s">
        <v>969</v>
      </c>
      <c r="R2460" s="17" t="s">
        <v>5730</v>
      </c>
      <c r="S2460" s="13" t="s">
        <v>5731</v>
      </c>
      <c r="T2460" s="11"/>
      <c r="U2460" s="10" t="str">
        <f>HYPERLINK("https://pbs.twimg.com/profile_images/1019290774108819458/wz1I2xwz.jpg","View")</f>
        <v>View</v>
      </c>
    </row>
    <row r="2461" spans="1:21" ht="51">
      <c r="A2461" s="6">
        <v>43438.34946759259</v>
      </c>
      <c r="B2461" s="7" t="str">
        <f>HYPERLINK("https://twitter.com/beasexy81","@beasexy81")</f>
        <v>@beasexy81</v>
      </c>
      <c r="C2461" s="8" t="s">
        <v>8629</v>
      </c>
      <c r="D2461" s="9" t="s">
        <v>8630</v>
      </c>
      <c r="E2461" s="10" t="str">
        <f>HYPERLINK("https://twitter.com/beasexy81/status/1069854626114138117","1069854626114138117")</f>
        <v>1069854626114138117</v>
      </c>
      <c r="F2461" s="11"/>
      <c r="G2461" s="11"/>
      <c r="H2461" s="11"/>
      <c r="I2461" s="14">
        <v>1</v>
      </c>
      <c r="J2461" s="14">
        <v>3</v>
      </c>
      <c r="K2461" s="15" t="str">
        <f>HYPERLINK("https://mobile.twitter.com","Mobile Web (M2)")</f>
        <v>Mobile Web (M2)</v>
      </c>
      <c r="L2461" s="14">
        <v>242</v>
      </c>
      <c r="M2461" s="14">
        <v>321</v>
      </c>
      <c r="N2461" s="14">
        <v>2</v>
      </c>
      <c r="O2461" s="16"/>
      <c r="P2461" s="6">
        <v>41347.985567129632</v>
      </c>
      <c r="Q2461" s="11"/>
      <c r="R2461" s="18"/>
      <c r="S2461" s="11"/>
      <c r="T2461" s="11"/>
      <c r="U2461" s="10" t="str">
        <f>HYPERLINK("https://pbs.twimg.com/profile_images/3380522614/ef187e328496e6f45ae3709c010bffca.jpeg","View")</f>
        <v>View</v>
      </c>
    </row>
    <row r="2462" spans="1:21" ht="30.6">
      <c r="A2462" s="6">
        <v>43438.348912037036</v>
      </c>
      <c r="B2462" s="7" t="str">
        <f>HYPERLINK("https://twitter.com/tgnoblejas","@tgnoblejas")</f>
        <v>@tgnoblejas</v>
      </c>
      <c r="C2462" s="8" t="s">
        <v>8120</v>
      </c>
      <c r="D2462" s="9" t="s">
        <v>8121</v>
      </c>
      <c r="E2462" s="10" t="str">
        <f>HYPERLINK("https://twitter.com/tgnoblejas/status/1069854424590442496","1069854424590442496")</f>
        <v>1069854424590442496</v>
      </c>
      <c r="F2462" s="13" t="s">
        <v>8122</v>
      </c>
      <c r="G2462" s="11"/>
      <c r="H2462" s="11"/>
      <c r="I2462" s="14">
        <v>7</v>
      </c>
      <c r="J2462" s="14">
        <v>2</v>
      </c>
      <c r="K2462" s="15" t="str">
        <f>HYPERLINK("http://twitter.com/download/android","Twitter for Android")</f>
        <v>Twitter for Android</v>
      </c>
      <c r="L2462" s="14">
        <v>1514</v>
      </c>
      <c r="M2462" s="14">
        <v>2340</v>
      </c>
      <c r="N2462" s="14">
        <v>31</v>
      </c>
      <c r="O2462" s="16"/>
      <c r="P2462" s="6">
        <v>40924.805358796293</v>
      </c>
      <c r="Q2462" s="11"/>
      <c r="R2462" s="17" t="s">
        <v>8123</v>
      </c>
      <c r="S2462" s="11"/>
      <c r="T2462" s="11"/>
      <c r="U2462" s="10" t="str">
        <f>HYPERLINK("https://pbs.twimg.com/profile_images/1043467812138876928/86eEeSPv.jpg","View")</f>
        <v>View</v>
      </c>
    </row>
    <row r="2463" spans="1:21" ht="91.8">
      <c r="A2463" s="6">
        <v>43438.344895833332</v>
      </c>
      <c r="B2463" s="7" t="str">
        <f>HYPERLINK("https://twitter.com/ACruzBizarro","@ACruzBizarro")</f>
        <v>@ACruzBizarro</v>
      </c>
      <c r="C2463" s="8" t="s">
        <v>7666</v>
      </c>
      <c r="D2463" s="9" t="s">
        <v>8124</v>
      </c>
      <c r="E2463" s="10" t="str">
        <f>HYPERLINK("https://twitter.com/ACruzBizarro/status/1069852970085507072","1069852970085507072")</f>
        <v>1069852970085507072</v>
      </c>
      <c r="F2463" s="13" t="s">
        <v>8125</v>
      </c>
      <c r="G2463" s="11"/>
      <c r="H2463" s="11"/>
      <c r="I2463" s="14">
        <v>0</v>
      </c>
      <c r="J2463" s="14">
        <v>1</v>
      </c>
      <c r="K2463" s="15" t="str">
        <f>HYPERLINK("http://twitter.com/download/iphone","Twitter for iPhone")</f>
        <v>Twitter for iPhone</v>
      </c>
      <c r="L2463" s="14">
        <v>299</v>
      </c>
      <c r="M2463" s="14">
        <v>615</v>
      </c>
      <c r="N2463" s="14">
        <v>5</v>
      </c>
      <c r="O2463" s="16"/>
      <c r="P2463" s="6">
        <v>41919.561932870369</v>
      </c>
      <c r="Q2463" s="11"/>
      <c r="R2463" s="17" t="s">
        <v>7670</v>
      </c>
      <c r="S2463" s="11"/>
      <c r="T2463" s="11"/>
      <c r="U2463" s="10" t="str">
        <f>HYPERLINK("https://pbs.twimg.com/profile_images/1026344499394605056/WCo9svQy.jpg","View")</f>
        <v>View</v>
      </c>
    </row>
    <row r="2464" spans="1:21" ht="51">
      <c r="A2464" s="6">
        <v>43438.3433912037</v>
      </c>
      <c r="B2464" s="7" t="str">
        <f>HYPERLINK("https://twitter.com/diariobalear_es","@diariobalear_es")</f>
        <v>@diariobalear_es</v>
      </c>
      <c r="C2464" s="8" t="s">
        <v>1653</v>
      </c>
      <c r="D2464" s="9" t="s">
        <v>8129</v>
      </c>
      <c r="E2464" s="10" t="str">
        <f>HYPERLINK("https://twitter.com/diariobalear_es/status/1069852424565858304","1069852424565858304")</f>
        <v>1069852424565858304</v>
      </c>
      <c r="F2464" s="13" t="s">
        <v>8131</v>
      </c>
      <c r="G2464" s="11"/>
      <c r="H2464" s="11"/>
      <c r="I2464" s="14">
        <v>3</v>
      </c>
      <c r="J2464" s="14">
        <v>2</v>
      </c>
      <c r="K2464" s="15" t="str">
        <f>HYPERLINK("http://twitter.com","Twitter Web Client")</f>
        <v>Twitter Web Client</v>
      </c>
      <c r="L2464" s="14">
        <v>3223</v>
      </c>
      <c r="M2464" s="14">
        <v>347</v>
      </c>
      <c r="N2464" s="14">
        <v>71</v>
      </c>
      <c r="O2464" s="16"/>
      <c r="P2464" s="6">
        <v>41694.754687499997</v>
      </c>
      <c r="Q2464" s="12" t="s">
        <v>1658</v>
      </c>
      <c r="R2464" s="17" t="s">
        <v>1659</v>
      </c>
      <c r="S2464" s="13" t="s">
        <v>1660</v>
      </c>
      <c r="T2464" s="11"/>
      <c r="U2464" s="10" t="str">
        <f>HYPERLINK("https://pbs.twimg.com/profile_images/992417277797597184/28OVRjFF.jpg","View")</f>
        <v>View</v>
      </c>
    </row>
    <row r="2465" spans="1:21" ht="30.6">
      <c r="A2465" s="6">
        <v>43438.343321759261</v>
      </c>
      <c r="B2465" s="7" t="str">
        <f>HYPERLINK("https://twitter.com/Cs_Teia","@Cs_Teia")</f>
        <v>@Cs_Teia</v>
      </c>
      <c r="C2465" s="8" t="s">
        <v>8631</v>
      </c>
      <c r="D2465" s="9" t="s">
        <v>8632</v>
      </c>
      <c r="E2465" s="10" t="str">
        <f>HYPERLINK("https://twitter.com/Cs_Teia/status/1069852397323804672","1069852397323804672")</f>
        <v>1069852397323804672</v>
      </c>
      <c r="F2465" s="11"/>
      <c r="G2465" s="13" t="s">
        <v>8633</v>
      </c>
      <c r="H2465" s="11"/>
      <c r="I2465" s="14">
        <v>4</v>
      </c>
      <c r="J2465" s="14">
        <v>10</v>
      </c>
      <c r="K2465" s="15" t="str">
        <f>HYPERLINK("http://twitter.com/download/iphone","Twitter for iPhone")</f>
        <v>Twitter for iPhone</v>
      </c>
      <c r="L2465" s="14">
        <v>378</v>
      </c>
      <c r="M2465" s="14">
        <v>436</v>
      </c>
      <c r="N2465" s="14">
        <v>4</v>
      </c>
      <c r="O2465" s="16"/>
      <c r="P2465" s="6">
        <v>42688.679456018523</v>
      </c>
      <c r="Q2465" s="12" t="s">
        <v>8634</v>
      </c>
      <c r="R2465" s="17" t="s">
        <v>8635</v>
      </c>
      <c r="S2465" s="13" t="s">
        <v>8636</v>
      </c>
      <c r="T2465" s="11"/>
      <c r="U2465" s="10" t="str">
        <f>HYPERLINK("https://pbs.twimg.com/profile_images/906625294525747201/DdsfG0XJ.jpg","View")</f>
        <v>View</v>
      </c>
    </row>
    <row r="2466" spans="1:21" ht="30.6">
      <c r="A2466" s="6">
        <v>43438.340624999997</v>
      </c>
      <c r="B2466" s="7" t="str">
        <f>HYPERLINK("https://twitter.com/Rafajasco","@Rafajasco")</f>
        <v>@Rafajasco</v>
      </c>
      <c r="C2466" s="8" t="s">
        <v>8138</v>
      </c>
      <c r="D2466" s="9" t="s">
        <v>8139</v>
      </c>
      <c r="E2466" s="10" t="str">
        <f>HYPERLINK("https://twitter.com/Rafajasco/status/1069851420759863297","1069851420759863297")</f>
        <v>1069851420759863297</v>
      </c>
      <c r="F2466" s="11"/>
      <c r="G2466" s="11"/>
      <c r="H2466" s="11"/>
      <c r="I2466" s="14">
        <v>0</v>
      </c>
      <c r="J2466" s="14">
        <v>0</v>
      </c>
      <c r="K2466" s="15" t="str">
        <f>HYPERLINK("https://mobile.twitter.com","Twitter Lite")</f>
        <v>Twitter Lite</v>
      </c>
      <c r="L2466" s="14">
        <v>378</v>
      </c>
      <c r="M2466" s="14">
        <v>625</v>
      </c>
      <c r="N2466" s="14">
        <v>10</v>
      </c>
      <c r="O2466" s="16"/>
      <c r="P2466" s="6">
        <v>41219.702048611114</v>
      </c>
      <c r="Q2466" s="11"/>
      <c r="R2466" s="17" t="s">
        <v>8142</v>
      </c>
      <c r="S2466" s="11"/>
      <c r="T2466" s="11"/>
      <c r="U2466" s="10" t="str">
        <f>HYPERLINK("https://pbs.twimg.com/profile_images/419222114684514305/4Zjh1i6X.png","View")</f>
        <v>View</v>
      </c>
    </row>
    <row r="2467" spans="1:21" ht="51">
      <c r="A2467" s="6">
        <v>43438.340555555551</v>
      </c>
      <c r="B2467" s="7" t="str">
        <f>HYPERLINK("https://twitter.com/RABAGOISABEL","@RABAGOISABEL")</f>
        <v>@RABAGOISABEL</v>
      </c>
      <c r="C2467" s="8" t="s">
        <v>8637</v>
      </c>
      <c r="D2467" s="9" t="s">
        <v>8638</v>
      </c>
      <c r="E2467" s="10" t="str">
        <f>HYPERLINK("https://twitter.com/RABAGOISABEL/status/1069851396986544129","1069851396986544129")</f>
        <v>1069851396986544129</v>
      </c>
      <c r="F2467" s="11"/>
      <c r="G2467" s="11"/>
      <c r="H2467" s="11"/>
      <c r="I2467" s="14">
        <v>105</v>
      </c>
      <c r="J2467" s="14">
        <v>300</v>
      </c>
      <c r="K2467" s="15" t="str">
        <f>HYPERLINK("http://twitter.com/download/iphone","Twitter for iPhone")</f>
        <v>Twitter for iPhone</v>
      </c>
      <c r="L2467" s="14">
        <v>66942</v>
      </c>
      <c r="M2467" s="14">
        <v>2480</v>
      </c>
      <c r="N2467" s="14">
        <v>289</v>
      </c>
      <c r="O2467" s="16"/>
      <c r="P2467" s="6">
        <v>40834.849004629628</v>
      </c>
      <c r="Q2467" s="12" t="s">
        <v>5305</v>
      </c>
      <c r="R2467" s="17" t="s">
        <v>8639</v>
      </c>
      <c r="S2467" s="11"/>
      <c r="T2467" s="11"/>
      <c r="U2467" s="10" t="str">
        <f>HYPERLINK("https://pbs.twimg.com/profile_images/1069972075245391872/HjRmj2z3.jpg","View")</f>
        <v>View</v>
      </c>
    </row>
    <row r="2468" spans="1:21" ht="51">
      <c r="A2468" s="6">
        <v>43438.338136574079</v>
      </c>
      <c r="B2468" s="7" t="str">
        <f>HYPERLINK("https://twitter.com/trendinaliaES","@trendinaliaES")</f>
        <v>@trendinaliaES</v>
      </c>
      <c r="C2468" s="8" t="s">
        <v>1697</v>
      </c>
      <c r="D2468" s="9" t="s">
        <v>8143</v>
      </c>
      <c r="E2468" s="10" t="str">
        <f>HYPERLINK("https://twitter.com/trendinaliaES/status/1069850520615976960","1069850520615976960")</f>
        <v>1069850520615976960</v>
      </c>
      <c r="F2468" s="13" t="s">
        <v>8144</v>
      </c>
      <c r="G2468" s="11"/>
      <c r="H2468" s="11" t="str">
        <f>HYPERLINK("https://ctrlq.org/maps/address/#40.4203,-3.7058","Map")</f>
        <v>Map</v>
      </c>
      <c r="I2468" s="14">
        <v>0</v>
      </c>
      <c r="J2468" s="14">
        <v>0</v>
      </c>
      <c r="K2468" s="15" t="str">
        <f>HYPERLINK("http://laconversa.com","Es Tendencia en España")</f>
        <v>Es Tendencia en España</v>
      </c>
      <c r="L2468" s="14">
        <v>49257</v>
      </c>
      <c r="M2468" s="14">
        <v>34</v>
      </c>
      <c r="N2468" s="14">
        <v>722</v>
      </c>
      <c r="O2468" s="19" t="s">
        <v>42</v>
      </c>
      <c r="P2468" s="6">
        <v>41319.819074074076</v>
      </c>
      <c r="Q2468" s="12" t="s">
        <v>137</v>
      </c>
      <c r="R2468" s="17" t="s">
        <v>1700</v>
      </c>
      <c r="S2468" s="13" t="s">
        <v>1701</v>
      </c>
      <c r="T2468" s="11"/>
      <c r="U2468" s="10" t="str">
        <f>HYPERLINK("https://pbs.twimg.com/profile_images/696485210821632000/xpdMQ_mE.png","View")</f>
        <v>View</v>
      </c>
    </row>
    <row r="2469" spans="1:21" ht="30.6">
      <c r="A2469" s="6">
        <v>43438.333530092597</v>
      </c>
      <c r="B2469" s="7" t="str">
        <f>HYPERLINK("https://twitter.com/jesusacmr","@jesusacmr")</f>
        <v>@jesusacmr</v>
      </c>
      <c r="C2469" s="8" t="s">
        <v>8145</v>
      </c>
      <c r="D2469" s="9" t="s">
        <v>8146</v>
      </c>
      <c r="E2469" s="10" t="str">
        <f>HYPERLINK("https://twitter.com/jesusacmr/status/1069848852293935104","1069848852293935104")</f>
        <v>1069848852293935104</v>
      </c>
      <c r="F2469" s="13" t="s">
        <v>8147</v>
      </c>
      <c r="G2469" s="11"/>
      <c r="H2469" s="11"/>
      <c r="I2469" s="14">
        <v>0</v>
      </c>
      <c r="J2469" s="14">
        <v>0</v>
      </c>
      <c r="K2469" s="15" t="str">
        <f t="shared" ref="K2469:K2470" si="486">HYPERLINK("http://twitter.com/download/iphone","Twitter for iPhone")</f>
        <v>Twitter for iPhone</v>
      </c>
      <c r="L2469" s="14">
        <v>35</v>
      </c>
      <c r="M2469" s="14">
        <v>196</v>
      </c>
      <c r="N2469" s="14">
        <v>0</v>
      </c>
      <c r="O2469" s="16"/>
      <c r="P2469" s="6">
        <v>43299.629571759258</v>
      </c>
      <c r="Q2469" s="12" t="s">
        <v>8148</v>
      </c>
      <c r="R2469" s="17" t="s">
        <v>8149</v>
      </c>
      <c r="S2469" s="11"/>
      <c r="T2469" s="11"/>
      <c r="U2469" s="10" t="str">
        <f>HYPERLINK("https://pbs.twimg.com/profile_images/1040328741791195137/fexRzKqS.jpg","View")</f>
        <v>View</v>
      </c>
    </row>
    <row r="2470" spans="1:21" ht="30.6">
      <c r="A2470" s="6">
        <v>43438.333495370374</v>
      </c>
      <c r="B2470" s="7" t="str">
        <f>HYPERLINK("https://twitter.com/papadria","@papadria")</f>
        <v>@papadria</v>
      </c>
      <c r="C2470" s="8" t="s">
        <v>8150</v>
      </c>
      <c r="D2470" s="9" t="s">
        <v>8151</v>
      </c>
      <c r="E2470" s="10" t="str">
        <f>HYPERLINK("https://twitter.com/papadria/status/1069848837664239617","1069848837664239617")</f>
        <v>1069848837664239617</v>
      </c>
      <c r="F2470" s="11"/>
      <c r="G2470" s="11"/>
      <c r="H2470" s="11"/>
      <c r="I2470" s="14">
        <v>1</v>
      </c>
      <c r="J2470" s="14">
        <v>1</v>
      </c>
      <c r="K2470" s="15" t="str">
        <f t="shared" si="486"/>
        <v>Twitter for iPhone</v>
      </c>
      <c r="L2470" s="14">
        <v>113</v>
      </c>
      <c r="M2470" s="14">
        <v>115</v>
      </c>
      <c r="N2470" s="14">
        <v>0</v>
      </c>
      <c r="O2470" s="16"/>
      <c r="P2470" s="6">
        <v>40931.529050925928</v>
      </c>
      <c r="Q2470" s="11"/>
      <c r="R2470" s="17" t="s">
        <v>8152</v>
      </c>
      <c r="S2470" s="11"/>
      <c r="T2470" s="11"/>
      <c r="U2470" s="10" t="str">
        <f>HYPERLINK("https://pbs.twimg.com/profile_images/1031806583108526081/_JmLsvDG.jpg","View")</f>
        <v>View</v>
      </c>
    </row>
    <row r="2471" spans="1:21" ht="51">
      <c r="A2471" s="6">
        <v>43438.333472222221</v>
      </c>
      <c r="B2471" s="7" t="str">
        <f>HYPERLINK("https://twitter.com/doguionrego","@doguionrego")</f>
        <v>@doguionrego</v>
      </c>
      <c r="C2471" s="8" t="s">
        <v>756</v>
      </c>
      <c r="D2471" s="9" t="s">
        <v>8154</v>
      </c>
      <c r="E2471" s="10" t="str">
        <f>HYPERLINK("https://twitter.com/doguionrego/status/1069848827753127937","1069848827753127937")</f>
        <v>1069848827753127937</v>
      </c>
      <c r="F2471" s="12" t="s">
        <v>8156</v>
      </c>
      <c r="G2471" s="11"/>
      <c r="H2471" s="11"/>
      <c r="I2471" s="14">
        <v>0</v>
      </c>
      <c r="J2471" s="14">
        <v>2</v>
      </c>
      <c r="K2471" s="15" t="str">
        <f t="shared" ref="K2471:K2473" si="487">HYPERLINK("http://twitter.com/download/android","Twitter for Android")</f>
        <v>Twitter for Android</v>
      </c>
      <c r="L2471" s="14">
        <v>4649</v>
      </c>
      <c r="M2471" s="14">
        <v>4774</v>
      </c>
      <c r="N2471" s="14">
        <v>9</v>
      </c>
      <c r="O2471" s="16"/>
      <c r="P2471" s="6">
        <v>42818.633599537032</v>
      </c>
      <c r="Q2471" s="12" t="s">
        <v>137</v>
      </c>
      <c r="R2471" s="17" t="s">
        <v>761</v>
      </c>
      <c r="S2471" s="11"/>
      <c r="T2471" s="11"/>
      <c r="U2471" s="10" t="str">
        <f>HYPERLINK("https://pbs.twimg.com/profile_images/937615481602789376/OBa7YPsM.jpg","View")</f>
        <v>View</v>
      </c>
    </row>
    <row r="2472" spans="1:21" ht="102">
      <c r="A2472" s="6">
        <v>43438.331574074073</v>
      </c>
      <c r="B2472" s="7" t="str">
        <f>HYPERLINK("https://twitter.com/Superhisterika","@Superhisterika")</f>
        <v>@Superhisterika</v>
      </c>
      <c r="C2472" s="8" t="s">
        <v>8157</v>
      </c>
      <c r="D2472" s="9" t="s">
        <v>8158</v>
      </c>
      <c r="E2472" s="10" t="str">
        <f>HYPERLINK("https://twitter.com/Superhisterika/status/1069848142600900610","1069848142600900610")</f>
        <v>1069848142600900610</v>
      </c>
      <c r="F2472" s="13" t="s">
        <v>8159</v>
      </c>
      <c r="G2472" s="13" t="s">
        <v>8160</v>
      </c>
      <c r="H2472" s="11"/>
      <c r="I2472" s="14">
        <v>0</v>
      </c>
      <c r="J2472" s="14">
        <v>1</v>
      </c>
      <c r="K2472" s="15" t="str">
        <f t="shared" si="487"/>
        <v>Twitter for Android</v>
      </c>
      <c r="L2472" s="14">
        <v>87</v>
      </c>
      <c r="M2472" s="14">
        <v>237</v>
      </c>
      <c r="N2472" s="14">
        <v>0</v>
      </c>
      <c r="O2472" s="16"/>
      <c r="P2472" s="6">
        <v>40632.551724537036</v>
      </c>
      <c r="Q2472" s="12" t="s">
        <v>181</v>
      </c>
      <c r="R2472" s="18"/>
      <c r="S2472" s="11"/>
      <c r="T2472" s="11"/>
      <c r="U2472" s="10" t="str">
        <f>HYPERLINK("https://pbs.twimg.com/profile_images/849884764018487296/n3C0gzcn.jpg","View")</f>
        <v>View</v>
      </c>
    </row>
    <row r="2473" spans="1:21" ht="40.799999999999997">
      <c r="A2473" s="6">
        <v>43438.331331018519</v>
      </c>
      <c r="B2473" s="7" t="str">
        <f>HYPERLINK("https://twitter.com/CorderitoDeMary","@CorderitoDeMary")</f>
        <v>@CorderitoDeMary</v>
      </c>
      <c r="C2473" s="8" t="s">
        <v>562</v>
      </c>
      <c r="D2473" s="9" t="s">
        <v>8161</v>
      </c>
      <c r="E2473" s="10" t="str">
        <f>HYPERLINK("https://twitter.com/CorderitoDeMary/status/1069848055141294080","1069848055141294080")</f>
        <v>1069848055141294080</v>
      </c>
      <c r="F2473" s="11"/>
      <c r="G2473" s="11"/>
      <c r="H2473" s="11"/>
      <c r="I2473" s="14">
        <v>0</v>
      </c>
      <c r="J2473" s="14">
        <v>0</v>
      </c>
      <c r="K2473" s="15" t="str">
        <f t="shared" si="487"/>
        <v>Twitter for Android</v>
      </c>
      <c r="L2473" s="14">
        <v>92</v>
      </c>
      <c r="M2473" s="14">
        <v>268</v>
      </c>
      <c r="N2473" s="14">
        <v>1</v>
      </c>
      <c r="O2473" s="16"/>
      <c r="P2473" s="6">
        <v>43093.528425925921</v>
      </c>
      <c r="Q2473" s="11"/>
      <c r="R2473" s="17" t="s">
        <v>565</v>
      </c>
      <c r="S2473" s="11"/>
      <c r="T2473" s="11"/>
      <c r="U2473" s="10" t="str">
        <f>HYPERLINK("https://pbs.twimg.com/profile_images/944896839467364353/xaPpgEGL.jpg","View")</f>
        <v>View</v>
      </c>
    </row>
    <row r="2474" spans="1:21" ht="20.399999999999999">
      <c r="A2474" s="6">
        <v>43438.331087962964</v>
      </c>
      <c r="B2474" s="7" t="str">
        <f>HYPERLINK("https://twitter.com/mundiario","@mundiario")</f>
        <v>@mundiario</v>
      </c>
      <c r="C2474" s="21" t="s">
        <v>8640</v>
      </c>
      <c r="D2474" s="9" t="s">
        <v>8641</v>
      </c>
      <c r="E2474" s="10" t="str">
        <f>HYPERLINK("https://twitter.com/mundiario/status/1069847966951849984","1069847966951849984")</f>
        <v>1069847966951849984</v>
      </c>
      <c r="F2474" s="13" t="s">
        <v>8187</v>
      </c>
      <c r="G2474" s="11"/>
      <c r="H2474" s="11"/>
      <c r="I2474" s="14">
        <v>0</v>
      </c>
      <c r="J2474" s="14">
        <v>0</v>
      </c>
      <c r="K2474" s="15" t="str">
        <f>HYPERLINK("https://www.hootsuite.com","Hootsuite Inc.")</f>
        <v>Hootsuite Inc.</v>
      </c>
      <c r="L2474" s="14">
        <v>4066</v>
      </c>
      <c r="M2474" s="14">
        <v>1739</v>
      </c>
      <c r="N2474" s="14">
        <v>343</v>
      </c>
      <c r="O2474" s="16"/>
      <c r="P2474" s="6">
        <v>41173.883761574078</v>
      </c>
      <c r="Q2474" s="12" t="s">
        <v>8642</v>
      </c>
      <c r="R2474" s="17" t="s">
        <v>8643</v>
      </c>
      <c r="S2474" s="13" t="s">
        <v>8644</v>
      </c>
      <c r="T2474" s="11"/>
      <c r="U2474" s="10" t="str">
        <f>HYPERLINK("https://pbs.twimg.com/profile_images/3094796766/730b364efa8d24668e7af3d6c7422a06.jpeg","View")</f>
        <v>View</v>
      </c>
    </row>
    <row r="2475" spans="1:21" ht="51">
      <c r="A2475" s="6">
        <v>43438.326481481483</v>
      </c>
      <c r="B2475" s="7" t="str">
        <f>HYPERLINK("https://twitter.com/ikernebadiola","@ikernebadiola")</f>
        <v>@ikernebadiola</v>
      </c>
      <c r="C2475" s="8" t="s">
        <v>8162</v>
      </c>
      <c r="D2475" s="9" t="s">
        <v>8163</v>
      </c>
      <c r="E2475" s="10" t="str">
        <f>HYPERLINK("https://twitter.com/ikernebadiola/status/1069846297283321856","1069846297283321856")</f>
        <v>1069846297283321856</v>
      </c>
      <c r="F2475" s="13" t="s">
        <v>8164</v>
      </c>
      <c r="G2475" s="11"/>
      <c r="H2475" s="11"/>
      <c r="I2475" s="14">
        <v>0</v>
      </c>
      <c r="J2475" s="14">
        <v>0</v>
      </c>
      <c r="K2475" s="15" t="str">
        <f>HYPERLINK("http://twitter.com/#!/download/ipad","Twitter for iPad")</f>
        <v>Twitter for iPad</v>
      </c>
      <c r="L2475" s="14">
        <v>339</v>
      </c>
      <c r="M2475" s="14">
        <v>126</v>
      </c>
      <c r="N2475" s="14">
        <v>5</v>
      </c>
      <c r="O2475" s="16"/>
      <c r="P2475" s="6">
        <v>40114.560335648144</v>
      </c>
      <c r="Q2475" s="11"/>
      <c r="R2475" s="17" t="s">
        <v>8167</v>
      </c>
      <c r="S2475" s="11"/>
      <c r="T2475" s="11"/>
      <c r="U2475" s="10" t="str">
        <f>HYPERLINK("https://pbs.twimg.com/profile_images/653438495428620288/6Vg_iVL8.jpg","View")</f>
        <v>View</v>
      </c>
    </row>
    <row r="2476" spans="1:21" ht="61.2">
      <c r="A2476" s="6">
        <v>43438.32476851852</v>
      </c>
      <c r="B2476" s="7" t="str">
        <f>HYPERLINK("https://twitter.com/belengs5","@belengs5")</f>
        <v>@belengs5</v>
      </c>
      <c r="C2476" s="8" t="s">
        <v>8169</v>
      </c>
      <c r="D2476" s="9" t="s">
        <v>8170</v>
      </c>
      <c r="E2476" s="10" t="str">
        <f>HYPERLINK("https://twitter.com/belengs5/status/1069845673653227525","1069845673653227525")</f>
        <v>1069845673653227525</v>
      </c>
      <c r="F2476" s="12" t="s">
        <v>8171</v>
      </c>
      <c r="G2476" s="11"/>
      <c r="H2476" s="11"/>
      <c r="I2476" s="14">
        <v>0</v>
      </c>
      <c r="J2476" s="14">
        <v>0</v>
      </c>
      <c r="K2476" s="15" t="str">
        <f>HYPERLINK("http://twitter.com/download/iphone","Twitter for iPhone")</f>
        <v>Twitter for iPhone</v>
      </c>
      <c r="L2476" s="14">
        <v>997</v>
      </c>
      <c r="M2476" s="14">
        <v>2048</v>
      </c>
      <c r="N2476" s="14">
        <v>12</v>
      </c>
      <c r="O2476" s="16"/>
      <c r="P2476" s="6">
        <v>40877.468449074076</v>
      </c>
      <c r="Q2476" s="12" t="s">
        <v>29</v>
      </c>
      <c r="R2476" s="17" t="s">
        <v>8172</v>
      </c>
      <c r="S2476" s="11"/>
      <c r="T2476" s="11"/>
      <c r="U2476" s="10" t="str">
        <f>HYPERLINK("https://pbs.twimg.com/profile_images/668909401793761280/h6JrePAK.jpg","View")</f>
        <v>View</v>
      </c>
    </row>
    <row r="2477" spans="1:21" ht="30.6">
      <c r="A2477" s="6">
        <v>43438.314293981486</v>
      </c>
      <c r="B2477" s="7" t="str">
        <f>HYPERLINK("https://twitter.com/menrych50","@menrych50")</f>
        <v>@menrych50</v>
      </c>
      <c r="C2477" s="8" t="s">
        <v>8173</v>
      </c>
      <c r="D2477" s="9" t="s">
        <v>8174</v>
      </c>
      <c r="E2477" s="10" t="str">
        <f>HYPERLINK("https://twitter.com/menrych50/status/1069841879016050688","1069841879016050688")</f>
        <v>1069841879016050688</v>
      </c>
      <c r="F2477" s="11"/>
      <c r="G2477" s="11"/>
      <c r="H2477" s="11"/>
      <c r="I2477" s="14">
        <v>0</v>
      </c>
      <c r="J2477" s="14">
        <v>0</v>
      </c>
      <c r="K2477" s="15" t="str">
        <f t="shared" ref="K2477:K2478" si="488">HYPERLINK("http://twitter.com/download/android","Twitter for Android")</f>
        <v>Twitter for Android</v>
      </c>
      <c r="L2477" s="14">
        <v>345</v>
      </c>
      <c r="M2477" s="14">
        <v>159</v>
      </c>
      <c r="N2477" s="14">
        <v>15</v>
      </c>
      <c r="O2477" s="16"/>
      <c r="P2477" s="6">
        <v>41009.647245370368</v>
      </c>
      <c r="Q2477" s="12" t="s">
        <v>8175</v>
      </c>
      <c r="R2477" s="17" t="s">
        <v>8176</v>
      </c>
      <c r="S2477" s="11"/>
      <c r="T2477" s="11"/>
      <c r="U2477" s="10" t="str">
        <f>HYPERLINK("https://pbs.twimg.com/profile_images/980845404190371841/iS0poDj0.jpg","View")</f>
        <v>View</v>
      </c>
    </row>
    <row r="2478" spans="1:21" ht="40.799999999999997">
      <c r="A2478" s="6">
        <v>43438.312326388885</v>
      </c>
      <c r="B2478" s="7" t="str">
        <f>HYPERLINK("https://twitter.com/MANOLOARROSPIDE","@MANOLOARROSPIDE")</f>
        <v>@MANOLOARROSPIDE</v>
      </c>
      <c r="C2478" s="8" t="s">
        <v>8177</v>
      </c>
      <c r="D2478" s="9" t="s">
        <v>8178</v>
      </c>
      <c r="E2478" s="10" t="str">
        <f>HYPERLINK("https://twitter.com/MANOLOARROSPIDE/status/1069841168027054080","1069841168027054080")</f>
        <v>1069841168027054080</v>
      </c>
      <c r="F2478" s="13" t="s">
        <v>8179</v>
      </c>
      <c r="G2478" s="11"/>
      <c r="H2478" s="11"/>
      <c r="I2478" s="14">
        <v>1</v>
      </c>
      <c r="J2478" s="14">
        <v>2</v>
      </c>
      <c r="K2478" s="15" t="str">
        <f t="shared" si="488"/>
        <v>Twitter for Android</v>
      </c>
      <c r="L2478" s="14">
        <v>369</v>
      </c>
      <c r="M2478" s="14">
        <v>1584</v>
      </c>
      <c r="N2478" s="14">
        <v>5</v>
      </c>
      <c r="O2478" s="16"/>
      <c r="P2478" s="6">
        <v>40444.830868055556</v>
      </c>
      <c r="Q2478" s="11"/>
      <c r="R2478" s="17" t="s">
        <v>8180</v>
      </c>
      <c r="S2478" s="11"/>
      <c r="T2478" s="11"/>
      <c r="U2478" s="10" t="str">
        <f>HYPERLINK("https://pbs.twimg.com/profile_images/913721224655720448/M2hEJTk9.jpg","View")</f>
        <v>View</v>
      </c>
    </row>
    <row r="2479" spans="1:21" ht="13.2">
      <c r="A2479" s="22"/>
      <c r="B2479" s="23"/>
      <c r="C2479" s="23"/>
      <c r="D2479" s="24"/>
      <c r="E2479" s="16"/>
      <c r="F2479" s="11"/>
      <c r="G2479" s="11"/>
      <c r="H2479" s="11"/>
      <c r="I2479" s="16"/>
      <c r="J2479" s="16"/>
      <c r="K2479" s="11"/>
      <c r="L2479" s="16"/>
      <c r="M2479" s="16"/>
      <c r="N2479" s="16"/>
      <c r="O2479" s="16"/>
      <c r="P2479" s="22"/>
      <c r="Q2479" s="11"/>
      <c r="R2479" s="18"/>
      <c r="S2479" s="11"/>
      <c r="T2479" s="11"/>
      <c r="U2479" s="16"/>
    </row>
    <row r="2480" spans="1:21" ht="13.2">
      <c r="A2480" s="25"/>
      <c r="B2480" s="23"/>
      <c r="C2480" s="23"/>
      <c r="D2480" s="24"/>
      <c r="E2480" s="16"/>
      <c r="F2480" s="16"/>
      <c r="G2480" s="16"/>
      <c r="H2480" s="16"/>
      <c r="I2480" s="16"/>
      <c r="J2480" s="16"/>
      <c r="K2480" s="16"/>
      <c r="L2480" s="16"/>
      <c r="M2480" s="16"/>
      <c r="N2480" s="16"/>
      <c r="O2480" s="16"/>
      <c r="P2480" s="16"/>
      <c r="Q2480" s="11"/>
      <c r="R2480" s="18"/>
      <c r="S2480" s="16"/>
      <c r="T2480" s="16"/>
      <c r="U2480" s="16"/>
    </row>
    <row r="2481" spans="1:21" ht="13.2">
      <c r="A2481" s="25"/>
      <c r="B2481" s="23"/>
      <c r="C2481" s="23"/>
      <c r="D2481" s="24"/>
      <c r="E2481" s="16"/>
      <c r="F2481" s="16"/>
      <c r="G2481" s="16"/>
      <c r="H2481" s="16"/>
      <c r="I2481" s="16"/>
      <c r="J2481" s="16"/>
      <c r="K2481" s="16"/>
      <c r="L2481" s="16"/>
      <c r="M2481" s="16"/>
      <c r="N2481" s="16"/>
      <c r="O2481" s="16"/>
      <c r="P2481" s="16"/>
      <c r="Q2481" s="11"/>
      <c r="R2481" s="18"/>
      <c r="S2481" s="16"/>
      <c r="T2481" s="16"/>
      <c r="U2481" s="16"/>
    </row>
    <row r="2482" spans="1:21" ht="13.2">
      <c r="A2482" s="25"/>
      <c r="B2482" s="23"/>
      <c r="C2482" s="23"/>
      <c r="D2482" s="24"/>
      <c r="E2482" s="16"/>
      <c r="F2482" s="16"/>
      <c r="G2482" s="16"/>
      <c r="H2482" s="16"/>
      <c r="I2482" s="16"/>
      <c r="J2482" s="16"/>
      <c r="K2482" s="16"/>
      <c r="L2482" s="16"/>
      <c r="M2482" s="16"/>
      <c r="N2482" s="16"/>
      <c r="O2482" s="16"/>
      <c r="P2482" s="16"/>
      <c r="Q2482" s="11"/>
      <c r="R2482" s="18"/>
      <c r="S2482" s="16"/>
      <c r="T2482" s="16"/>
      <c r="U2482" s="16"/>
    </row>
    <row r="2483" spans="1:21" ht="13.2">
      <c r="A2483" s="25"/>
      <c r="B2483" s="23"/>
      <c r="C2483" s="23"/>
      <c r="D2483" s="24"/>
      <c r="E2483" s="16"/>
      <c r="F2483" s="16"/>
      <c r="G2483" s="16"/>
      <c r="H2483" s="16"/>
      <c r="I2483" s="16"/>
      <c r="J2483" s="16"/>
      <c r="K2483" s="16"/>
      <c r="L2483" s="16"/>
      <c r="M2483" s="16"/>
      <c r="N2483" s="16"/>
      <c r="O2483" s="16"/>
      <c r="P2483" s="16"/>
      <c r="Q2483" s="11"/>
      <c r="R2483" s="18"/>
      <c r="S2483" s="16"/>
      <c r="T2483" s="16"/>
      <c r="U2483" s="16"/>
    </row>
    <row r="2484" spans="1:21" ht="13.2">
      <c r="A2484" s="25"/>
      <c r="B2484" s="23"/>
      <c r="C2484" s="23"/>
      <c r="D2484" s="24"/>
      <c r="E2484" s="16"/>
      <c r="F2484" s="16"/>
      <c r="G2484" s="16"/>
      <c r="H2484" s="16"/>
      <c r="I2484" s="16"/>
      <c r="J2484" s="16"/>
      <c r="K2484" s="16"/>
      <c r="L2484" s="16"/>
      <c r="M2484" s="16"/>
      <c r="N2484" s="16"/>
      <c r="O2484" s="16"/>
      <c r="P2484" s="16"/>
      <c r="Q2484" s="11"/>
      <c r="R2484" s="18"/>
      <c r="S2484" s="16"/>
      <c r="T2484" s="16"/>
      <c r="U2484" s="16"/>
    </row>
    <row r="2485" spans="1:21" ht="13.2">
      <c r="A2485" s="25"/>
      <c r="B2485" s="23"/>
      <c r="C2485" s="23"/>
      <c r="D2485" s="24"/>
      <c r="E2485" s="16"/>
      <c r="F2485" s="16"/>
      <c r="G2485" s="16"/>
      <c r="H2485" s="16"/>
      <c r="I2485" s="16"/>
      <c r="J2485" s="16"/>
      <c r="K2485" s="16"/>
      <c r="L2485" s="16"/>
      <c r="M2485" s="16"/>
      <c r="N2485" s="16"/>
      <c r="O2485" s="16"/>
      <c r="P2485" s="16"/>
      <c r="Q2485" s="11"/>
      <c r="R2485" s="18"/>
      <c r="S2485" s="16"/>
      <c r="T2485" s="16"/>
      <c r="U2485" s="16"/>
    </row>
    <row r="2486" spans="1:21" ht="13.2">
      <c r="A2486" s="19"/>
      <c r="B2486" s="23"/>
      <c r="C2486" s="23"/>
      <c r="D2486" s="24"/>
      <c r="E2486" s="16"/>
      <c r="F2486" s="16"/>
      <c r="G2486" s="16"/>
      <c r="H2486" s="16"/>
      <c r="I2486" s="16"/>
      <c r="J2486" s="16"/>
      <c r="K2486" s="16"/>
      <c r="L2486" s="16"/>
      <c r="M2486" s="16"/>
      <c r="N2486" s="16"/>
      <c r="O2486" s="16"/>
      <c r="P2486" s="16"/>
      <c r="Q2486" s="11"/>
      <c r="R2486" s="18"/>
      <c r="S2486" s="16"/>
      <c r="T2486" s="16"/>
      <c r="U2486" s="16"/>
    </row>
    <row r="2487" spans="1:21" ht="13.2">
      <c r="A2487" s="25"/>
      <c r="B2487" s="23"/>
      <c r="C2487" s="23"/>
      <c r="D2487" s="24"/>
      <c r="E2487" s="16"/>
      <c r="F2487" s="16"/>
      <c r="G2487" s="16"/>
      <c r="H2487" s="16"/>
      <c r="I2487" s="16"/>
      <c r="J2487" s="16"/>
      <c r="K2487" s="16"/>
      <c r="L2487" s="16"/>
      <c r="M2487" s="16"/>
      <c r="N2487" s="16"/>
      <c r="O2487" s="16"/>
      <c r="P2487" s="16"/>
      <c r="Q2487" s="11"/>
      <c r="R2487" s="18"/>
      <c r="S2487" s="16"/>
      <c r="T2487" s="16"/>
      <c r="U2487" s="16"/>
    </row>
    <row r="2488" spans="1:21" ht="13.2">
      <c r="A2488" s="25"/>
      <c r="B2488" s="23"/>
      <c r="C2488" s="23"/>
      <c r="D2488" s="24"/>
      <c r="E2488" s="16"/>
      <c r="F2488" s="16"/>
      <c r="G2488" s="16"/>
      <c r="H2488" s="16"/>
      <c r="I2488" s="16"/>
      <c r="J2488" s="16"/>
      <c r="K2488" s="16"/>
      <c r="L2488" s="16"/>
      <c r="M2488" s="16"/>
      <c r="N2488" s="16"/>
      <c r="O2488" s="16"/>
      <c r="P2488" s="16"/>
      <c r="Q2488" s="11"/>
      <c r="R2488" s="18"/>
      <c r="S2488" s="16"/>
      <c r="T2488" s="16"/>
      <c r="U2488" s="16"/>
    </row>
    <row r="2489" spans="1:21" ht="13.2">
      <c r="A2489" s="25"/>
      <c r="B2489" s="23"/>
      <c r="C2489" s="23"/>
      <c r="D2489" s="24"/>
      <c r="E2489" s="16"/>
      <c r="F2489" s="16"/>
      <c r="G2489" s="16"/>
      <c r="H2489" s="16"/>
      <c r="I2489" s="16"/>
      <c r="J2489" s="16"/>
      <c r="K2489" s="16"/>
      <c r="L2489" s="16"/>
      <c r="M2489" s="16"/>
      <c r="N2489" s="16"/>
      <c r="O2489" s="16"/>
      <c r="P2489" s="16"/>
      <c r="Q2489" s="11"/>
      <c r="R2489" s="18"/>
      <c r="S2489" s="16"/>
      <c r="T2489" s="16"/>
      <c r="U2489" s="16"/>
    </row>
    <row r="2490" spans="1:21" ht="13.2">
      <c r="A2490" s="25"/>
      <c r="B2490" s="23"/>
      <c r="C2490" s="23"/>
      <c r="D2490" s="24"/>
      <c r="E2490" s="16"/>
      <c r="F2490" s="16"/>
      <c r="G2490" s="16"/>
      <c r="H2490" s="16"/>
      <c r="I2490" s="16"/>
      <c r="J2490" s="16"/>
      <c r="K2490" s="16"/>
      <c r="L2490" s="16"/>
      <c r="M2490" s="16"/>
      <c r="N2490" s="16"/>
      <c r="O2490" s="16"/>
      <c r="P2490" s="16"/>
      <c r="Q2490" s="11"/>
      <c r="R2490" s="18"/>
      <c r="S2490" s="16"/>
      <c r="T2490" s="16"/>
      <c r="U2490" s="16"/>
    </row>
    <row r="2491" spans="1:21" ht="13.2">
      <c r="A2491" s="25"/>
      <c r="B2491" s="23"/>
      <c r="C2491" s="23"/>
      <c r="D2491" s="24"/>
      <c r="E2491" s="16"/>
      <c r="F2491" s="16"/>
      <c r="G2491" s="16"/>
      <c r="H2491" s="16"/>
      <c r="I2491" s="16"/>
      <c r="J2491" s="16"/>
      <c r="K2491" s="16"/>
      <c r="L2491" s="16"/>
      <c r="M2491" s="16"/>
      <c r="N2491" s="16"/>
      <c r="O2491" s="16"/>
      <c r="P2491" s="16"/>
      <c r="Q2491" s="11"/>
      <c r="R2491" s="18"/>
      <c r="S2491" s="16"/>
      <c r="T2491" s="16"/>
      <c r="U2491" s="16"/>
    </row>
    <row r="2492" spans="1:21" ht="13.2">
      <c r="A2492" s="25"/>
      <c r="B2492" s="23"/>
      <c r="C2492" s="23"/>
      <c r="D2492" s="24"/>
      <c r="E2492" s="16"/>
      <c r="F2492" s="16"/>
      <c r="G2492" s="16"/>
      <c r="H2492" s="16"/>
      <c r="I2492" s="16"/>
      <c r="J2492" s="16"/>
      <c r="K2492" s="16"/>
      <c r="L2492" s="16"/>
      <c r="M2492" s="16"/>
      <c r="N2492" s="16"/>
      <c r="O2492" s="16"/>
      <c r="P2492" s="16"/>
      <c r="Q2492" s="11"/>
      <c r="R2492" s="18"/>
      <c r="S2492" s="16"/>
      <c r="T2492" s="16"/>
      <c r="U2492" s="16"/>
    </row>
    <row r="2493" spans="1:21" ht="13.2">
      <c r="A2493" s="25"/>
      <c r="B2493" s="23"/>
      <c r="C2493" s="23"/>
      <c r="D2493" s="24"/>
      <c r="E2493" s="16"/>
      <c r="F2493" s="16"/>
      <c r="G2493" s="16"/>
      <c r="H2493" s="16"/>
      <c r="I2493" s="16"/>
      <c r="J2493" s="16"/>
      <c r="K2493" s="16"/>
      <c r="L2493" s="16"/>
      <c r="M2493" s="16"/>
      <c r="N2493" s="16"/>
      <c r="O2493" s="16"/>
      <c r="P2493" s="16"/>
      <c r="Q2493" s="11"/>
      <c r="R2493" s="18"/>
      <c r="S2493" s="16"/>
      <c r="T2493" s="16"/>
      <c r="U2493" s="16"/>
    </row>
    <row r="2494" spans="1:21" ht="13.2">
      <c r="A2494" s="25"/>
      <c r="B2494" s="23"/>
      <c r="C2494" s="23"/>
      <c r="D2494" s="24"/>
      <c r="E2494" s="16"/>
      <c r="F2494" s="16"/>
      <c r="G2494" s="16"/>
      <c r="H2494" s="16"/>
      <c r="I2494" s="16"/>
      <c r="J2494" s="16"/>
      <c r="K2494" s="16"/>
      <c r="L2494" s="16"/>
      <c r="M2494" s="16"/>
      <c r="N2494" s="16"/>
      <c r="O2494" s="16"/>
      <c r="P2494" s="16"/>
      <c r="Q2494" s="11"/>
      <c r="R2494" s="18"/>
      <c r="S2494" s="16"/>
      <c r="T2494" s="16"/>
      <c r="U2494" s="16"/>
    </row>
    <row r="2495" spans="1:21" ht="13.2">
      <c r="A2495" s="25"/>
      <c r="B2495" s="23"/>
      <c r="C2495" s="23"/>
      <c r="D2495" s="24"/>
      <c r="E2495" s="16"/>
      <c r="F2495" s="16"/>
      <c r="G2495" s="16"/>
      <c r="H2495" s="16"/>
      <c r="I2495" s="16"/>
      <c r="J2495" s="16"/>
      <c r="K2495" s="16"/>
      <c r="L2495" s="16"/>
      <c r="M2495" s="16"/>
      <c r="N2495" s="16"/>
      <c r="O2495" s="16"/>
      <c r="P2495" s="16"/>
      <c r="Q2495" s="11"/>
      <c r="R2495" s="18"/>
      <c r="S2495" s="16"/>
      <c r="T2495" s="16"/>
      <c r="U2495" s="16"/>
    </row>
    <row r="2496" spans="1:21" ht="13.2">
      <c r="A2496" s="25"/>
      <c r="B2496" s="23"/>
      <c r="C2496" s="23"/>
      <c r="D2496" s="24"/>
      <c r="E2496" s="16"/>
      <c r="F2496" s="16"/>
      <c r="G2496" s="16"/>
      <c r="H2496" s="16"/>
      <c r="I2496" s="16"/>
      <c r="J2496" s="16"/>
      <c r="K2496" s="16"/>
      <c r="L2496" s="16"/>
      <c r="M2496" s="16"/>
      <c r="N2496" s="16"/>
      <c r="O2496" s="16"/>
      <c r="P2496" s="16"/>
      <c r="Q2496" s="11"/>
      <c r="R2496" s="18"/>
      <c r="S2496" s="16"/>
      <c r="T2496" s="16"/>
      <c r="U2496" s="16"/>
    </row>
    <row r="2497" spans="1:21" ht="13.2">
      <c r="A2497" s="25"/>
      <c r="B2497" s="23"/>
      <c r="C2497" s="23"/>
      <c r="D2497" s="24"/>
      <c r="E2497" s="16"/>
      <c r="F2497" s="16"/>
      <c r="G2497" s="16"/>
      <c r="H2497" s="16"/>
      <c r="I2497" s="16"/>
      <c r="J2497" s="16"/>
      <c r="K2497" s="16"/>
      <c r="L2497" s="16"/>
      <c r="M2497" s="16"/>
      <c r="N2497" s="16"/>
      <c r="O2497" s="16"/>
      <c r="P2497" s="16"/>
      <c r="Q2497" s="11"/>
      <c r="R2497" s="18"/>
      <c r="S2497" s="16"/>
      <c r="T2497" s="16"/>
      <c r="U2497" s="16"/>
    </row>
    <row r="2498" spans="1:21" ht="13.2">
      <c r="A2498" s="25"/>
      <c r="B2498" s="23"/>
      <c r="C2498" s="23"/>
      <c r="D2498" s="24"/>
      <c r="E2498" s="16"/>
      <c r="F2498" s="16"/>
      <c r="G2498" s="16"/>
      <c r="H2498" s="16"/>
      <c r="I2498" s="16"/>
      <c r="J2498" s="16"/>
      <c r="K2498" s="16"/>
      <c r="L2498" s="16"/>
      <c r="M2498" s="16"/>
      <c r="N2498" s="16"/>
      <c r="O2498" s="16"/>
      <c r="P2498" s="16"/>
      <c r="Q2498" s="11"/>
      <c r="R2498" s="18"/>
      <c r="S2498" s="16"/>
      <c r="T2498" s="16"/>
      <c r="U2498" s="16"/>
    </row>
    <row r="2499" spans="1:21" ht="13.2">
      <c r="A2499" s="25"/>
      <c r="B2499" s="23"/>
      <c r="C2499" s="23"/>
      <c r="D2499" s="24"/>
      <c r="E2499" s="16"/>
      <c r="F2499" s="16"/>
      <c r="G2499" s="16"/>
      <c r="H2499" s="16"/>
      <c r="I2499" s="16"/>
      <c r="J2499" s="16"/>
      <c r="K2499" s="16"/>
      <c r="L2499" s="16"/>
      <c r="M2499" s="16"/>
      <c r="N2499" s="16"/>
      <c r="O2499" s="16"/>
      <c r="P2499" s="16"/>
      <c r="Q2499" s="11"/>
      <c r="R2499" s="18"/>
      <c r="S2499" s="16"/>
      <c r="T2499" s="16"/>
      <c r="U2499" s="16"/>
    </row>
    <row r="2500" spans="1:21" ht="13.2">
      <c r="A2500" s="25"/>
      <c r="B2500" s="23"/>
      <c r="C2500" s="23"/>
      <c r="D2500" s="24"/>
      <c r="E2500" s="16"/>
      <c r="F2500" s="16"/>
      <c r="G2500" s="16"/>
      <c r="H2500" s="16"/>
      <c r="I2500" s="16"/>
      <c r="J2500" s="16"/>
      <c r="K2500" s="16"/>
      <c r="L2500" s="16"/>
      <c r="M2500" s="16"/>
      <c r="N2500" s="16"/>
      <c r="O2500" s="16"/>
      <c r="P2500" s="16"/>
      <c r="Q2500" s="11"/>
      <c r="R2500" s="18"/>
      <c r="S2500" s="16"/>
      <c r="T2500" s="16"/>
      <c r="U2500" s="16"/>
    </row>
    <row r="2501" spans="1:21" ht="13.2">
      <c r="A2501" s="25"/>
      <c r="B2501" s="23"/>
      <c r="C2501" s="23"/>
      <c r="D2501" s="24"/>
      <c r="E2501" s="16"/>
      <c r="F2501" s="16"/>
      <c r="G2501" s="16"/>
      <c r="H2501" s="16"/>
      <c r="I2501" s="16"/>
      <c r="J2501" s="16"/>
      <c r="K2501" s="16"/>
      <c r="L2501" s="16"/>
      <c r="M2501" s="16"/>
      <c r="N2501" s="16"/>
      <c r="O2501" s="16"/>
      <c r="P2501" s="16"/>
      <c r="Q2501" s="11"/>
      <c r="R2501" s="18"/>
      <c r="S2501" s="16"/>
      <c r="T2501" s="16"/>
      <c r="U2501" s="16"/>
    </row>
  </sheetData>
  <mergeCells count="2">
    <mergeCell ref="A1:K1"/>
    <mergeCell ref="L1:U1"/>
  </mergeCells>
  <hyperlinks>
    <hyperlink ref="S3" r:id="rId1" xr:uid="{00000000-0004-0000-0300-000000000000}"/>
    <hyperlink ref="G4" r:id="rId2" xr:uid="{00000000-0004-0000-0300-000001000000}"/>
    <hyperlink ref="S4" r:id="rId3" xr:uid="{00000000-0004-0000-0300-000002000000}"/>
    <hyperlink ref="F5" r:id="rId4" xr:uid="{00000000-0004-0000-0300-000003000000}"/>
    <hyperlink ref="F6" r:id="rId5" xr:uid="{00000000-0004-0000-0300-000004000000}"/>
    <hyperlink ref="S6" r:id="rId6" xr:uid="{00000000-0004-0000-0300-000005000000}"/>
    <hyperlink ref="F7" r:id="rId7" xr:uid="{00000000-0004-0000-0300-000006000000}"/>
    <hyperlink ref="G7" r:id="rId8" xr:uid="{00000000-0004-0000-0300-000007000000}"/>
    <hyperlink ref="F8" r:id="rId9" xr:uid="{00000000-0004-0000-0300-000008000000}"/>
    <hyperlink ref="G10" r:id="rId10" xr:uid="{00000000-0004-0000-0300-000009000000}"/>
    <hyperlink ref="F11" r:id="rId11" xr:uid="{00000000-0004-0000-0300-00000A000000}"/>
    <hyperlink ref="F12" r:id="rId12" xr:uid="{00000000-0004-0000-0300-00000B000000}"/>
    <hyperlink ref="F14" r:id="rId13" xr:uid="{00000000-0004-0000-0300-00000C000000}"/>
    <hyperlink ref="F15" r:id="rId14" xr:uid="{00000000-0004-0000-0300-00000D000000}"/>
    <hyperlink ref="F16" r:id="rId15" xr:uid="{00000000-0004-0000-0300-00000E000000}"/>
    <hyperlink ref="S16" r:id="rId16" xr:uid="{00000000-0004-0000-0300-00000F000000}"/>
    <hyperlink ref="F17" r:id="rId17" xr:uid="{00000000-0004-0000-0300-000010000000}"/>
    <hyperlink ref="S17" r:id="rId18" xr:uid="{00000000-0004-0000-0300-000011000000}"/>
    <hyperlink ref="F19" r:id="rId19" xr:uid="{00000000-0004-0000-0300-000012000000}"/>
    <hyperlink ref="F20" r:id="rId20" xr:uid="{00000000-0004-0000-0300-000013000000}"/>
    <hyperlink ref="G20" r:id="rId21" xr:uid="{00000000-0004-0000-0300-000014000000}"/>
    <hyperlink ref="F21" r:id="rId22" xr:uid="{00000000-0004-0000-0300-000015000000}"/>
    <hyperlink ref="F22" r:id="rId23" xr:uid="{00000000-0004-0000-0300-000016000000}"/>
    <hyperlink ref="F24" r:id="rId24" location=".XAvcEzAg4YA.twitter" xr:uid="{00000000-0004-0000-0300-000017000000}"/>
    <hyperlink ref="F25" r:id="rId25" xr:uid="{00000000-0004-0000-0300-000018000000}"/>
    <hyperlink ref="G25" r:id="rId26" xr:uid="{00000000-0004-0000-0300-000019000000}"/>
    <hyperlink ref="F26" r:id="rId27" xr:uid="{00000000-0004-0000-0300-00001A000000}"/>
    <hyperlink ref="G27" r:id="rId28" xr:uid="{00000000-0004-0000-0300-00001B000000}"/>
    <hyperlink ref="S27" r:id="rId29" xr:uid="{00000000-0004-0000-0300-00001C000000}"/>
    <hyperlink ref="F28" r:id="rId30" xr:uid="{00000000-0004-0000-0300-00001D000000}"/>
    <hyperlink ref="F29" r:id="rId31" xr:uid="{00000000-0004-0000-0300-00001E000000}"/>
    <hyperlink ref="F30" r:id="rId32" xr:uid="{00000000-0004-0000-0300-00001F000000}"/>
    <hyperlink ref="G30" r:id="rId33" xr:uid="{00000000-0004-0000-0300-000020000000}"/>
    <hyperlink ref="G31" r:id="rId34" xr:uid="{00000000-0004-0000-0300-000021000000}"/>
    <hyperlink ref="F32" r:id="rId35" xr:uid="{00000000-0004-0000-0300-000022000000}"/>
    <hyperlink ref="S33" r:id="rId36" xr:uid="{00000000-0004-0000-0300-000023000000}"/>
    <hyperlink ref="F34" r:id="rId37" xr:uid="{00000000-0004-0000-0300-000024000000}"/>
    <hyperlink ref="F35" r:id="rId38" xr:uid="{00000000-0004-0000-0300-000025000000}"/>
    <hyperlink ref="F36" r:id="rId39" xr:uid="{00000000-0004-0000-0300-000026000000}"/>
    <hyperlink ref="S37" r:id="rId40" xr:uid="{00000000-0004-0000-0300-000027000000}"/>
    <hyperlink ref="F38" r:id="rId41" xr:uid="{00000000-0004-0000-0300-000028000000}"/>
    <hyperlink ref="S38" r:id="rId42" xr:uid="{00000000-0004-0000-0300-000029000000}"/>
    <hyperlink ref="F39" r:id="rId43" xr:uid="{00000000-0004-0000-0300-00002A000000}"/>
    <hyperlink ref="S39" r:id="rId44" xr:uid="{00000000-0004-0000-0300-00002B000000}"/>
    <hyperlink ref="F40" r:id="rId45" xr:uid="{00000000-0004-0000-0300-00002C000000}"/>
    <hyperlink ref="F41" r:id="rId46" xr:uid="{00000000-0004-0000-0300-00002D000000}"/>
    <hyperlink ref="G41" r:id="rId47" xr:uid="{00000000-0004-0000-0300-00002E000000}"/>
    <hyperlink ref="F43" r:id="rId48" xr:uid="{00000000-0004-0000-0300-00002F000000}"/>
    <hyperlink ref="F44" r:id="rId49" xr:uid="{00000000-0004-0000-0300-000030000000}"/>
    <hyperlink ref="G44" r:id="rId50" xr:uid="{00000000-0004-0000-0300-000031000000}"/>
    <hyperlink ref="S44" r:id="rId51" xr:uid="{00000000-0004-0000-0300-000032000000}"/>
    <hyperlink ref="G45" r:id="rId52" xr:uid="{00000000-0004-0000-0300-000033000000}"/>
    <hyperlink ref="S47" r:id="rId53" xr:uid="{00000000-0004-0000-0300-000034000000}"/>
    <hyperlink ref="F48" r:id="rId54" xr:uid="{00000000-0004-0000-0300-000035000000}"/>
    <hyperlink ref="G48" r:id="rId55" xr:uid="{00000000-0004-0000-0300-000036000000}"/>
    <hyperlink ref="S48" r:id="rId56" xr:uid="{00000000-0004-0000-0300-000037000000}"/>
    <hyperlink ref="F49" r:id="rId57" xr:uid="{00000000-0004-0000-0300-000038000000}"/>
    <hyperlink ref="S49" r:id="rId58" xr:uid="{00000000-0004-0000-0300-000039000000}"/>
    <hyperlink ref="G51" r:id="rId59" xr:uid="{00000000-0004-0000-0300-00003A000000}"/>
    <hyperlink ref="F52" r:id="rId60" xr:uid="{00000000-0004-0000-0300-00003B000000}"/>
    <hyperlink ref="F54" r:id="rId61" location="ns_campaign=rrss-inducido&amp;ns_mchannel=abc-es&amp;ns_source=tw&amp;ns_linkname=noticia-entrevista&amp;ns_fee=0" xr:uid="{00000000-0004-0000-0300-00003C000000}"/>
    <hyperlink ref="F55" r:id="rId62" xr:uid="{00000000-0004-0000-0300-00003D000000}"/>
    <hyperlink ref="G57" r:id="rId63" xr:uid="{00000000-0004-0000-0300-00003E000000}"/>
    <hyperlink ref="F59" r:id="rId64" xr:uid="{00000000-0004-0000-0300-00003F000000}"/>
    <hyperlink ref="S59" r:id="rId65" xr:uid="{00000000-0004-0000-0300-000040000000}"/>
    <hyperlink ref="F60" r:id="rId66" xr:uid="{00000000-0004-0000-0300-000041000000}"/>
    <hyperlink ref="S60" r:id="rId67" xr:uid="{00000000-0004-0000-0300-000042000000}"/>
    <hyperlink ref="F61" r:id="rId68" xr:uid="{00000000-0004-0000-0300-000043000000}"/>
    <hyperlink ref="G65" r:id="rId69" xr:uid="{00000000-0004-0000-0300-000044000000}"/>
    <hyperlink ref="F66" r:id="rId70" xr:uid="{00000000-0004-0000-0300-000045000000}"/>
    <hyperlink ref="G68" r:id="rId71" xr:uid="{00000000-0004-0000-0300-000046000000}"/>
    <hyperlink ref="S68" r:id="rId72" xr:uid="{00000000-0004-0000-0300-000047000000}"/>
    <hyperlink ref="F69" r:id="rId73" xr:uid="{00000000-0004-0000-0300-000048000000}"/>
    <hyperlink ref="G69" r:id="rId74" xr:uid="{00000000-0004-0000-0300-000049000000}"/>
    <hyperlink ref="F71" r:id="rId75" xr:uid="{00000000-0004-0000-0300-00004A000000}"/>
    <hyperlink ref="G71" r:id="rId76" xr:uid="{00000000-0004-0000-0300-00004B000000}"/>
    <hyperlink ref="F72" r:id="rId77" xr:uid="{00000000-0004-0000-0300-00004C000000}"/>
    <hyperlink ref="S72" r:id="rId78" xr:uid="{00000000-0004-0000-0300-00004D000000}"/>
    <hyperlink ref="F73" r:id="rId79" xr:uid="{00000000-0004-0000-0300-00004E000000}"/>
    <hyperlink ref="F74" r:id="rId80" xr:uid="{00000000-0004-0000-0300-00004F000000}"/>
    <hyperlink ref="F75" r:id="rId81" xr:uid="{00000000-0004-0000-0300-000050000000}"/>
    <hyperlink ref="S75" r:id="rId82" xr:uid="{00000000-0004-0000-0300-000051000000}"/>
    <hyperlink ref="S77" r:id="rId83" xr:uid="{00000000-0004-0000-0300-000052000000}"/>
    <hyperlink ref="G78" r:id="rId84" xr:uid="{00000000-0004-0000-0300-000053000000}"/>
    <hyperlink ref="G79" r:id="rId85" xr:uid="{00000000-0004-0000-0300-000054000000}"/>
    <hyperlink ref="S79" r:id="rId86" xr:uid="{00000000-0004-0000-0300-000055000000}"/>
    <hyperlink ref="F80" r:id="rId87" xr:uid="{00000000-0004-0000-0300-000056000000}"/>
    <hyperlink ref="S80" r:id="rId88" xr:uid="{00000000-0004-0000-0300-000057000000}"/>
    <hyperlink ref="F82" r:id="rId89" xr:uid="{00000000-0004-0000-0300-000058000000}"/>
    <hyperlink ref="G82" r:id="rId90" xr:uid="{00000000-0004-0000-0300-000059000000}"/>
    <hyperlink ref="F83" r:id="rId91" xr:uid="{00000000-0004-0000-0300-00005A000000}"/>
    <hyperlink ref="F84" r:id="rId92" xr:uid="{00000000-0004-0000-0300-00005B000000}"/>
    <hyperlink ref="S84" r:id="rId93" xr:uid="{00000000-0004-0000-0300-00005C000000}"/>
    <hyperlink ref="F85" r:id="rId94" xr:uid="{00000000-0004-0000-0300-00005D000000}"/>
    <hyperlink ref="F86" r:id="rId95" xr:uid="{00000000-0004-0000-0300-00005E000000}"/>
    <hyperlink ref="F88" r:id="rId96" xr:uid="{00000000-0004-0000-0300-00005F000000}"/>
    <hyperlink ref="S88" r:id="rId97" xr:uid="{00000000-0004-0000-0300-000060000000}"/>
    <hyperlink ref="G89" r:id="rId98" xr:uid="{00000000-0004-0000-0300-000061000000}"/>
    <hyperlink ref="S89" r:id="rId99" xr:uid="{00000000-0004-0000-0300-000062000000}"/>
    <hyperlink ref="S90" r:id="rId100" xr:uid="{00000000-0004-0000-0300-000063000000}"/>
    <hyperlink ref="F91" r:id="rId101" xr:uid="{00000000-0004-0000-0300-000064000000}"/>
    <hyperlink ref="S91" r:id="rId102" xr:uid="{00000000-0004-0000-0300-000065000000}"/>
    <hyperlink ref="S92" r:id="rId103" xr:uid="{00000000-0004-0000-0300-000066000000}"/>
    <hyperlink ref="F93" r:id="rId104" xr:uid="{00000000-0004-0000-0300-000067000000}"/>
    <hyperlink ref="G93" r:id="rId105" xr:uid="{00000000-0004-0000-0300-000068000000}"/>
    <hyperlink ref="G94" r:id="rId106" xr:uid="{00000000-0004-0000-0300-000069000000}"/>
    <hyperlink ref="S94" r:id="rId107" xr:uid="{00000000-0004-0000-0300-00006A000000}"/>
    <hyperlink ref="G95" r:id="rId108" xr:uid="{00000000-0004-0000-0300-00006B000000}"/>
    <hyperlink ref="F97" r:id="rId109" xr:uid="{00000000-0004-0000-0300-00006C000000}"/>
    <hyperlink ref="F98" r:id="rId110" xr:uid="{00000000-0004-0000-0300-00006D000000}"/>
    <hyperlink ref="F99" r:id="rId111" xr:uid="{00000000-0004-0000-0300-00006E000000}"/>
    <hyperlink ref="F101" r:id="rId112" xr:uid="{00000000-0004-0000-0300-00006F000000}"/>
    <hyperlink ref="S101" r:id="rId113" xr:uid="{00000000-0004-0000-0300-000070000000}"/>
    <hyperlink ref="F102" r:id="rId114" xr:uid="{00000000-0004-0000-0300-000071000000}"/>
    <hyperlink ref="G102" r:id="rId115" xr:uid="{00000000-0004-0000-0300-000072000000}"/>
    <hyperlink ref="F103" r:id="rId116" xr:uid="{00000000-0004-0000-0300-000073000000}"/>
    <hyperlink ref="S103" r:id="rId117" xr:uid="{00000000-0004-0000-0300-000074000000}"/>
    <hyperlink ref="F104" r:id="rId118" location="click=https://t.co/tzZeOyumEB" xr:uid="{00000000-0004-0000-0300-000075000000}"/>
    <hyperlink ref="G105" r:id="rId119" xr:uid="{00000000-0004-0000-0300-000076000000}"/>
    <hyperlink ref="F106" r:id="rId120" xr:uid="{00000000-0004-0000-0300-000077000000}"/>
    <hyperlink ref="F108" r:id="rId121" xr:uid="{00000000-0004-0000-0300-000078000000}"/>
    <hyperlink ref="S108" r:id="rId122" xr:uid="{00000000-0004-0000-0300-000079000000}"/>
    <hyperlink ref="S110" r:id="rId123" xr:uid="{00000000-0004-0000-0300-00007A000000}"/>
    <hyperlink ref="G111" r:id="rId124" xr:uid="{00000000-0004-0000-0300-00007B000000}"/>
    <hyperlink ref="S111" r:id="rId125" xr:uid="{00000000-0004-0000-0300-00007C000000}"/>
    <hyperlink ref="F113" r:id="rId126" xr:uid="{00000000-0004-0000-0300-00007D000000}"/>
    <hyperlink ref="F114" r:id="rId127" xr:uid="{00000000-0004-0000-0300-00007E000000}"/>
    <hyperlink ref="F115" r:id="rId128" xr:uid="{00000000-0004-0000-0300-00007F000000}"/>
    <hyperlink ref="G115" r:id="rId129" xr:uid="{00000000-0004-0000-0300-000080000000}"/>
    <hyperlink ref="S116" r:id="rId130" xr:uid="{00000000-0004-0000-0300-000081000000}"/>
    <hyperlink ref="F117" r:id="rId131" xr:uid="{00000000-0004-0000-0300-000082000000}"/>
    <hyperlink ref="S118" r:id="rId132" xr:uid="{00000000-0004-0000-0300-000083000000}"/>
    <hyperlink ref="F119" r:id="rId133" xr:uid="{00000000-0004-0000-0300-000084000000}"/>
    <hyperlink ref="F120" r:id="rId134" xr:uid="{00000000-0004-0000-0300-000085000000}"/>
    <hyperlink ref="S120" r:id="rId135" xr:uid="{00000000-0004-0000-0300-000086000000}"/>
    <hyperlink ref="F122" r:id="rId136" xr:uid="{00000000-0004-0000-0300-000087000000}"/>
    <hyperlink ref="S122" r:id="rId137" xr:uid="{00000000-0004-0000-0300-000088000000}"/>
    <hyperlink ref="F123" r:id="rId138" xr:uid="{00000000-0004-0000-0300-000089000000}"/>
    <hyperlink ref="S124" r:id="rId139" xr:uid="{00000000-0004-0000-0300-00008A000000}"/>
    <hyperlink ref="F125" r:id="rId140" xr:uid="{00000000-0004-0000-0300-00008B000000}"/>
    <hyperlink ref="S125" r:id="rId141" xr:uid="{00000000-0004-0000-0300-00008C000000}"/>
    <hyperlink ref="F127" r:id="rId142" xr:uid="{00000000-0004-0000-0300-00008D000000}"/>
    <hyperlink ref="S127" r:id="rId143" xr:uid="{00000000-0004-0000-0300-00008E000000}"/>
    <hyperlink ref="F128" r:id="rId144" xr:uid="{00000000-0004-0000-0300-00008F000000}"/>
    <hyperlink ref="F129" r:id="rId145" xr:uid="{00000000-0004-0000-0300-000090000000}"/>
    <hyperlink ref="S129" r:id="rId146" xr:uid="{00000000-0004-0000-0300-000091000000}"/>
    <hyperlink ref="F130" r:id="rId147" xr:uid="{00000000-0004-0000-0300-000092000000}"/>
    <hyperlink ref="F131" r:id="rId148" xr:uid="{00000000-0004-0000-0300-000093000000}"/>
    <hyperlink ref="G131" r:id="rId149" xr:uid="{00000000-0004-0000-0300-000094000000}"/>
    <hyperlink ref="F132" r:id="rId150" xr:uid="{00000000-0004-0000-0300-000095000000}"/>
    <hyperlink ref="G133" r:id="rId151" xr:uid="{00000000-0004-0000-0300-000096000000}"/>
    <hyperlink ref="S133" r:id="rId152" xr:uid="{00000000-0004-0000-0300-000097000000}"/>
    <hyperlink ref="F134" r:id="rId153" xr:uid="{00000000-0004-0000-0300-000098000000}"/>
    <hyperlink ref="S134" r:id="rId154" xr:uid="{00000000-0004-0000-0300-000099000000}"/>
    <hyperlink ref="F135" r:id="rId155" xr:uid="{00000000-0004-0000-0300-00009A000000}"/>
    <hyperlink ref="G135" r:id="rId156" xr:uid="{00000000-0004-0000-0300-00009B000000}"/>
    <hyperlink ref="S135" r:id="rId157" xr:uid="{00000000-0004-0000-0300-00009C000000}"/>
    <hyperlink ref="F136" r:id="rId158" xr:uid="{00000000-0004-0000-0300-00009D000000}"/>
    <hyperlink ref="F137" r:id="rId159" xr:uid="{00000000-0004-0000-0300-00009E000000}"/>
    <hyperlink ref="F138" r:id="rId160" xr:uid="{00000000-0004-0000-0300-00009F000000}"/>
    <hyperlink ref="G138" r:id="rId161" xr:uid="{00000000-0004-0000-0300-0000A0000000}"/>
    <hyperlink ref="S138" r:id="rId162" xr:uid="{00000000-0004-0000-0300-0000A1000000}"/>
    <hyperlink ref="F139" r:id="rId163" xr:uid="{00000000-0004-0000-0300-0000A2000000}"/>
    <hyperlink ref="F140" r:id="rId164" xr:uid="{00000000-0004-0000-0300-0000A3000000}"/>
    <hyperlink ref="G140" r:id="rId165" xr:uid="{00000000-0004-0000-0300-0000A4000000}"/>
    <hyperlink ref="F141" r:id="rId166" xr:uid="{00000000-0004-0000-0300-0000A5000000}"/>
    <hyperlink ref="G141" r:id="rId167" xr:uid="{00000000-0004-0000-0300-0000A6000000}"/>
    <hyperlink ref="F142" r:id="rId168" xr:uid="{00000000-0004-0000-0300-0000A7000000}"/>
    <hyperlink ref="S142" r:id="rId169" xr:uid="{00000000-0004-0000-0300-0000A8000000}"/>
    <hyperlink ref="F143" r:id="rId170" xr:uid="{00000000-0004-0000-0300-0000A9000000}"/>
    <hyperlink ref="F144" r:id="rId171" xr:uid="{00000000-0004-0000-0300-0000AA000000}"/>
    <hyperlink ref="F145" r:id="rId172" xr:uid="{00000000-0004-0000-0300-0000AB000000}"/>
    <hyperlink ref="F146" r:id="rId173" xr:uid="{00000000-0004-0000-0300-0000AC000000}"/>
    <hyperlink ref="S146" r:id="rId174" xr:uid="{00000000-0004-0000-0300-0000AD000000}"/>
    <hyperlink ref="F147" r:id="rId175" xr:uid="{00000000-0004-0000-0300-0000AE000000}"/>
    <hyperlink ref="G148" r:id="rId176" xr:uid="{00000000-0004-0000-0300-0000AF000000}"/>
    <hyperlink ref="G149" r:id="rId177" xr:uid="{00000000-0004-0000-0300-0000B0000000}"/>
    <hyperlink ref="F150" r:id="rId178" xr:uid="{00000000-0004-0000-0300-0000B1000000}"/>
    <hyperlink ref="F151" r:id="rId179" xr:uid="{00000000-0004-0000-0300-0000B2000000}"/>
    <hyperlink ref="F152" r:id="rId180" xr:uid="{00000000-0004-0000-0300-0000B3000000}"/>
    <hyperlink ref="F153" r:id="rId181" xr:uid="{00000000-0004-0000-0300-0000B4000000}"/>
    <hyperlink ref="S153" r:id="rId182" xr:uid="{00000000-0004-0000-0300-0000B5000000}"/>
    <hyperlink ref="F154" r:id="rId183" xr:uid="{00000000-0004-0000-0300-0000B6000000}"/>
    <hyperlink ref="F156" r:id="rId184" xr:uid="{00000000-0004-0000-0300-0000B7000000}"/>
    <hyperlink ref="G156" r:id="rId185" xr:uid="{00000000-0004-0000-0300-0000B8000000}"/>
    <hyperlink ref="F157" r:id="rId186" xr:uid="{00000000-0004-0000-0300-0000B9000000}"/>
    <hyperlink ref="F158" r:id="rId187" xr:uid="{00000000-0004-0000-0300-0000BA000000}"/>
    <hyperlink ref="F159" r:id="rId188" xr:uid="{00000000-0004-0000-0300-0000BB000000}"/>
    <hyperlink ref="G160" r:id="rId189" xr:uid="{00000000-0004-0000-0300-0000BC000000}"/>
    <hyperlink ref="F161" r:id="rId190" xr:uid="{00000000-0004-0000-0300-0000BD000000}"/>
    <hyperlink ref="F162" r:id="rId191" xr:uid="{00000000-0004-0000-0300-0000BE000000}"/>
    <hyperlink ref="S162" r:id="rId192" xr:uid="{00000000-0004-0000-0300-0000BF000000}"/>
    <hyperlink ref="F163" r:id="rId193" xr:uid="{00000000-0004-0000-0300-0000C0000000}"/>
    <hyperlink ref="F165" r:id="rId194" xr:uid="{00000000-0004-0000-0300-0000C1000000}"/>
    <hyperlink ref="S165" r:id="rId195" xr:uid="{00000000-0004-0000-0300-0000C2000000}"/>
    <hyperlink ref="F166" r:id="rId196" xr:uid="{00000000-0004-0000-0300-0000C3000000}"/>
    <hyperlink ref="S166" r:id="rId197" xr:uid="{00000000-0004-0000-0300-0000C4000000}"/>
    <hyperlink ref="F167" r:id="rId198" xr:uid="{00000000-0004-0000-0300-0000C5000000}"/>
    <hyperlink ref="G167" r:id="rId199" xr:uid="{00000000-0004-0000-0300-0000C6000000}"/>
    <hyperlink ref="S167" r:id="rId200" xr:uid="{00000000-0004-0000-0300-0000C7000000}"/>
    <hyperlink ref="F168" r:id="rId201" xr:uid="{00000000-0004-0000-0300-0000C8000000}"/>
    <hyperlink ref="S168" r:id="rId202" xr:uid="{00000000-0004-0000-0300-0000C9000000}"/>
    <hyperlink ref="F169" r:id="rId203" xr:uid="{00000000-0004-0000-0300-0000CA000000}"/>
    <hyperlink ref="S169" r:id="rId204" xr:uid="{00000000-0004-0000-0300-0000CB000000}"/>
    <hyperlink ref="F171" r:id="rId205" xr:uid="{00000000-0004-0000-0300-0000CC000000}"/>
    <hyperlink ref="S171" r:id="rId206" xr:uid="{00000000-0004-0000-0300-0000CD000000}"/>
    <hyperlink ref="G172" r:id="rId207" xr:uid="{00000000-0004-0000-0300-0000CE000000}"/>
    <hyperlink ref="G173" r:id="rId208" xr:uid="{00000000-0004-0000-0300-0000CF000000}"/>
    <hyperlink ref="S173" r:id="rId209" xr:uid="{00000000-0004-0000-0300-0000D0000000}"/>
    <hyperlink ref="F174" r:id="rId210" xr:uid="{00000000-0004-0000-0300-0000D1000000}"/>
    <hyperlink ref="F175" r:id="rId211" xr:uid="{00000000-0004-0000-0300-0000D2000000}"/>
    <hyperlink ref="S175" r:id="rId212" xr:uid="{00000000-0004-0000-0300-0000D3000000}"/>
    <hyperlink ref="F176" r:id="rId213" xr:uid="{00000000-0004-0000-0300-0000D4000000}"/>
    <hyperlink ref="F177" r:id="rId214" xr:uid="{00000000-0004-0000-0300-0000D5000000}"/>
    <hyperlink ref="S178" r:id="rId215" xr:uid="{00000000-0004-0000-0300-0000D6000000}"/>
    <hyperlink ref="F180" r:id="rId216" xr:uid="{00000000-0004-0000-0300-0000D7000000}"/>
    <hyperlink ref="S180" r:id="rId217" xr:uid="{00000000-0004-0000-0300-0000D8000000}"/>
    <hyperlink ref="F181" r:id="rId218" xr:uid="{00000000-0004-0000-0300-0000D9000000}"/>
    <hyperlink ref="S181" r:id="rId219" xr:uid="{00000000-0004-0000-0300-0000DA000000}"/>
    <hyperlink ref="G182" r:id="rId220" xr:uid="{00000000-0004-0000-0300-0000DB000000}"/>
    <hyperlink ref="F183" r:id="rId221" xr:uid="{00000000-0004-0000-0300-0000DC000000}"/>
    <hyperlink ref="F184" r:id="rId222" xr:uid="{00000000-0004-0000-0300-0000DD000000}"/>
    <hyperlink ref="F186" r:id="rId223" xr:uid="{00000000-0004-0000-0300-0000DE000000}"/>
    <hyperlink ref="F187" r:id="rId224" xr:uid="{00000000-0004-0000-0300-0000DF000000}"/>
    <hyperlink ref="F188" r:id="rId225" xr:uid="{00000000-0004-0000-0300-0000E0000000}"/>
    <hyperlink ref="F189" r:id="rId226" xr:uid="{00000000-0004-0000-0300-0000E1000000}"/>
    <hyperlink ref="F190" r:id="rId227" xr:uid="{00000000-0004-0000-0300-0000E2000000}"/>
    <hyperlink ref="G190" r:id="rId228" xr:uid="{00000000-0004-0000-0300-0000E3000000}"/>
    <hyperlink ref="G192" r:id="rId229" xr:uid="{00000000-0004-0000-0300-0000E4000000}"/>
    <hyperlink ref="F193" r:id="rId230" xr:uid="{00000000-0004-0000-0300-0000E5000000}"/>
    <hyperlink ref="F194" r:id="rId231" xr:uid="{00000000-0004-0000-0300-0000E6000000}"/>
    <hyperlink ref="F195" r:id="rId232" xr:uid="{00000000-0004-0000-0300-0000E7000000}"/>
    <hyperlink ref="S195" r:id="rId233" xr:uid="{00000000-0004-0000-0300-0000E8000000}"/>
    <hyperlink ref="G196" r:id="rId234" xr:uid="{00000000-0004-0000-0300-0000E9000000}"/>
    <hyperlink ref="S196" r:id="rId235" xr:uid="{00000000-0004-0000-0300-0000EA000000}"/>
    <hyperlink ref="G197" r:id="rId236" xr:uid="{00000000-0004-0000-0300-0000EB000000}"/>
    <hyperlink ref="S197" r:id="rId237" xr:uid="{00000000-0004-0000-0300-0000EC000000}"/>
    <hyperlink ref="F198" r:id="rId238" xr:uid="{00000000-0004-0000-0300-0000ED000000}"/>
    <hyperlink ref="S199" r:id="rId239" xr:uid="{00000000-0004-0000-0300-0000EE000000}"/>
    <hyperlink ref="F200" r:id="rId240" xr:uid="{00000000-0004-0000-0300-0000EF000000}"/>
    <hyperlink ref="C201" r:id="rId241" xr:uid="{00000000-0004-0000-0300-0000F0000000}"/>
    <hyperlink ref="F201" r:id="rId242" xr:uid="{00000000-0004-0000-0300-0000F1000000}"/>
    <hyperlink ref="F202" r:id="rId243" xr:uid="{00000000-0004-0000-0300-0000F2000000}"/>
    <hyperlink ref="S202" r:id="rId244" xr:uid="{00000000-0004-0000-0300-0000F3000000}"/>
    <hyperlink ref="F203" r:id="rId245" xr:uid="{00000000-0004-0000-0300-0000F4000000}"/>
    <hyperlink ref="G204" r:id="rId246" xr:uid="{00000000-0004-0000-0300-0000F5000000}"/>
    <hyperlink ref="S204" r:id="rId247" xr:uid="{00000000-0004-0000-0300-0000F6000000}"/>
    <hyperlink ref="F205" r:id="rId248" xr:uid="{00000000-0004-0000-0300-0000F7000000}"/>
    <hyperlink ref="G205" r:id="rId249" xr:uid="{00000000-0004-0000-0300-0000F8000000}"/>
    <hyperlink ref="F206" r:id="rId250" xr:uid="{00000000-0004-0000-0300-0000F9000000}"/>
    <hyperlink ref="F207" r:id="rId251" xr:uid="{00000000-0004-0000-0300-0000FA000000}"/>
    <hyperlink ref="S207" r:id="rId252" xr:uid="{00000000-0004-0000-0300-0000FB000000}"/>
    <hyperlink ref="F208" r:id="rId253" xr:uid="{00000000-0004-0000-0300-0000FC000000}"/>
    <hyperlink ref="S208" r:id="rId254" location="!/mercedes.mosquerabango.7?ref=bookmark" xr:uid="{00000000-0004-0000-0300-0000FD000000}"/>
    <hyperlink ref="F209" r:id="rId255" xr:uid="{00000000-0004-0000-0300-0000FE000000}"/>
    <hyperlink ref="F210" r:id="rId256" xr:uid="{00000000-0004-0000-0300-0000FF000000}"/>
    <hyperlink ref="G210" r:id="rId257" xr:uid="{00000000-0004-0000-0300-000000010000}"/>
    <hyperlink ref="F211" r:id="rId258" xr:uid="{00000000-0004-0000-0300-000001010000}"/>
    <hyperlink ref="G212" r:id="rId259" xr:uid="{00000000-0004-0000-0300-000002010000}"/>
    <hyperlink ref="F213" r:id="rId260" xr:uid="{00000000-0004-0000-0300-000003010000}"/>
    <hyperlink ref="G213" r:id="rId261" xr:uid="{00000000-0004-0000-0300-000004010000}"/>
    <hyperlink ref="S213" r:id="rId262" xr:uid="{00000000-0004-0000-0300-000005010000}"/>
    <hyperlink ref="F215" r:id="rId263" xr:uid="{00000000-0004-0000-0300-000006010000}"/>
    <hyperlink ref="G215" r:id="rId264" xr:uid="{00000000-0004-0000-0300-000007010000}"/>
    <hyperlink ref="S215" r:id="rId265" xr:uid="{00000000-0004-0000-0300-000008010000}"/>
    <hyperlink ref="F216" r:id="rId266" xr:uid="{00000000-0004-0000-0300-000009010000}"/>
    <hyperlink ref="S216" r:id="rId267" xr:uid="{00000000-0004-0000-0300-00000A010000}"/>
    <hyperlink ref="F218" r:id="rId268" xr:uid="{00000000-0004-0000-0300-00000B010000}"/>
    <hyperlink ref="G218" r:id="rId269" xr:uid="{00000000-0004-0000-0300-00000C010000}"/>
    <hyperlink ref="S218" r:id="rId270" xr:uid="{00000000-0004-0000-0300-00000D010000}"/>
    <hyperlink ref="F219" r:id="rId271" xr:uid="{00000000-0004-0000-0300-00000E010000}"/>
    <hyperlink ref="F220" r:id="rId272" xr:uid="{00000000-0004-0000-0300-00000F010000}"/>
    <hyperlink ref="S220" r:id="rId273" xr:uid="{00000000-0004-0000-0300-000010010000}"/>
    <hyperlink ref="F225" r:id="rId274" xr:uid="{00000000-0004-0000-0300-000011010000}"/>
    <hyperlink ref="S225" r:id="rId275" xr:uid="{00000000-0004-0000-0300-000012010000}"/>
    <hyperlink ref="F226" r:id="rId276" xr:uid="{00000000-0004-0000-0300-000013010000}"/>
    <hyperlink ref="G226" r:id="rId277" xr:uid="{00000000-0004-0000-0300-000014010000}"/>
    <hyperlink ref="F228" r:id="rId278" xr:uid="{00000000-0004-0000-0300-000015010000}"/>
    <hyperlink ref="G230" r:id="rId279" xr:uid="{00000000-0004-0000-0300-000016010000}"/>
    <hyperlink ref="F231" r:id="rId280" xr:uid="{00000000-0004-0000-0300-000017010000}"/>
    <hyperlink ref="G232" r:id="rId281" xr:uid="{00000000-0004-0000-0300-000018010000}"/>
    <hyperlink ref="G233" r:id="rId282" xr:uid="{00000000-0004-0000-0300-000019010000}"/>
    <hyperlink ref="S233" r:id="rId283" xr:uid="{00000000-0004-0000-0300-00001A010000}"/>
    <hyperlink ref="F235" r:id="rId284" xr:uid="{00000000-0004-0000-0300-00001B010000}"/>
    <hyperlink ref="G237" r:id="rId285" xr:uid="{00000000-0004-0000-0300-00001C010000}"/>
    <hyperlink ref="S237" r:id="rId286" xr:uid="{00000000-0004-0000-0300-00001D010000}"/>
    <hyperlink ref="G238" r:id="rId287" xr:uid="{00000000-0004-0000-0300-00001E010000}"/>
    <hyperlink ref="F240" r:id="rId288" xr:uid="{00000000-0004-0000-0300-00001F010000}"/>
    <hyperlink ref="F241" r:id="rId289" xr:uid="{00000000-0004-0000-0300-000020010000}"/>
    <hyperlink ref="F242" r:id="rId290" xr:uid="{00000000-0004-0000-0300-000021010000}"/>
    <hyperlink ref="S242" r:id="rId291" xr:uid="{00000000-0004-0000-0300-000022010000}"/>
    <hyperlink ref="F243" r:id="rId292" xr:uid="{00000000-0004-0000-0300-000023010000}"/>
    <hyperlink ref="F245" r:id="rId293" xr:uid="{00000000-0004-0000-0300-000024010000}"/>
    <hyperlink ref="S246" r:id="rId294" xr:uid="{00000000-0004-0000-0300-000025010000}"/>
    <hyperlink ref="F247" r:id="rId295" xr:uid="{00000000-0004-0000-0300-000026010000}"/>
    <hyperlink ref="G248" r:id="rId296" xr:uid="{00000000-0004-0000-0300-000027010000}"/>
    <hyperlink ref="S248" r:id="rId297" xr:uid="{00000000-0004-0000-0300-000028010000}"/>
    <hyperlink ref="S249" r:id="rId298" xr:uid="{00000000-0004-0000-0300-000029010000}"/>
    <hyperlink ref="S250" r:id="rId299" xr:uid="{00000000-0004-0000-0300-00002A010000}"/>
    <hyperlink ref="F251" r:id="rId300" xr:uid="{00000000-0004-0000-0300-00002B010000}"/>
    <hyperlink ref="S251" r:id="rId301" xr:uid="{00000000-0004-0000-0300-00002C010000}"/>
    <hyperlink ref="F252" r:id="rId302" xr:uid="{00000000-0004-0000-0300-00002D010000}"/>
    <hyperlink ref="G253" r:id="rId303" xr:uid="{00000000-0004-0000-0300-00002E010000}"/>
    <hyperlink ref="G254" r:id="rId304" xr:uid="{00000000-0004-0000-0300-00002F010000}"/>
    <hyperlink ref="S254" r:id="rId305" xr:uid="{00000000-0004-0000-0300-000030010000}"/>
    <hyperlink ref="F255" r:id="rId306" xr:uid="{00000000-0004-0000-0300-000031010000}"/>
    <hyperlink ref="G255" r:id="rId307" xr:uid="{00000000-0004-0000-0300-000032010000}"/>
    <hyperlink ref="S255" r:id="rId308" xr:uid="{00000000-0004-0000-0300-000033010000}"/>
    <hyperlink ref="G257" r:id="rId309" xr:uid="{00000000-0004-0000-0300-000034010000}"/>
    <hyperlink ref="F258" r:id="rId310" xr:uid="{00000000-0004-0000-0300-000035010000}"/>
    <hyperlink ref="F259" r:id="rId311" xr:uid="{00000000-0004-0000-0300-000036010000}"/>
    <hyperlink ref="G259" r:id="rId312" xr:uid="{00000000-0004-0000-0300-000037010000}"/>
    <hyperlink ref="G260" r:id="rId313" xr:uid="{00000000-0004-0000-0300-000038010000}"/>
    <hyperlink ref="S260" r:id="rId314" xr:uid="{00000000-0004-0000-0300-000039010000}"/>
    <hyperlink ref="F261" r:id="rId315" xr:uid="{00000000-0004-0000-0300-00003A010000}"/>
    <hyperlink ref="S262" r:id="rId316" xr:uid="{00000000-0004-0000-0300-00003B010000}"/>
    <hyperlink ref="S263" r:id="rId317" xr:uid="{00000000-0004-0000-0300-00003C010000}"/>
    <hyperlink ref="F264" r:id="rId318" xr:uid="{00000000-0004-0000-0300-00003D010000}"/>
    <hyperlink ref="F266" r:id="rId319" xr:uid="{00000000-0004-0000-0300-00003E010000}"/>
    <hyperlink ref="S266" r:id="rId320" xr:uid="{00000000-0004-0000-0300-00003F010000}"/>
    <hyperlink ref="G267" r:id="rId321" xr:uid="{00000000-0004-0000-0300-000040010000}"/>
    <hyperlink ref="S267" r:id="rId322" xr:uid="{00000000-0004-0000-0300-000041010000}"/>
    <hyperlink ref="S268" r:id="rId323" xr:uid="{00000000-0004-0000-0300-000042010000}"/>
    <hyperlink ref="F269" r:id="rId324" xr:uid="{00000000-0004-0000-0300-000043010000}"/>
    <hyperlink ref="F270" r:id="rId325" xr:uid="{00000000-0004-0000-0300-000044010000}"/>
    <hyperlink ref="S270" r:id="rId326" xr:uid="{00000000-0004-0000-0300-000045010000}"/>
    <hyperlink ref="G272" r:id="rId327" xr:uid="{00000000-0004-0000-0300-000046010000}"/>
    <hyperlink ref="F273" r:id="rId328" xr:uid="{00000000-0004-0000-0300-000047010000}"/>
    <hyperlink ref="F274" r:id="rId329" xr:uid="{00000000-0004-0000-0300-000048010000}"/>
    <hyperlink ref="S274" r:id="rId330" xr:uid="{00000000-0004-0000-0300-000049010000}"/>
    <hyperlink ref="F275" r:id="rId331" xr:uid="{00000000-0004-0000-0300-00004A010000}"/>
    <hyperlink ref="F276" r:id="rId332" xr:uid="{00000000-0004-0000-0300-00004B010000}"/>
    <hyperlink ref="G278" r:id="rId333" xr:uid="{00000000-0004-0000-0300-00004C010000}"/>
    <hyperlink ref="G279" r:id="rId334" xr:uid="{00000000-0004-0000-0300-00004D010000}"/>
    <hyperlink ref="F280" r:id="rId335" xr:uid="{00000000-0004-0000-0300-00004E010000}"/>
    <hyperlink ref="G280" r:id="rId336" xr:uid="{00000000-0004-0000-0300-00004F010000}"/>
    <hyperlink ref="S280" r:id="rId337" xr:uid="{00000000-0004-0000-0300-000050010000}"/>
    <hyperlink ref="S281" r:id="rId338" xr:uid="{00000000-0004-0000-0300-000051010000}"/>
    <hyperlink ref="F282" r:id="rId339" xr:uid="{00000000-0004-0000-0300-000052010000}"/>
    <hyperlink ref="F283" r:id="rId340" xr:uid="{00000000-0004-0000-0300-000053010000}"/>
    <hyperlink ref="F284" r:id="rId341" xr:uid="{00000000-0004-0000-0300-000054010000}"/>
    <hyperlink ref="S285" r:id="rId342" xr:uid="{00000000-0004-0000-0300-000055010000}"/>
    <hyperlink ref="F286" r:id="rId343" xr:uid="{00000000-0004-0000-0300-000056010000}"/>
    <hyperlink ref="F287" r:id="rId344" xr:uid="{00000000-0004-0000-0300-000057010000}"/>
    <hyperlink ref="F288" r:id="rId345" xr:uid="{00000000-0004-0000-0300-000058010000}"/>
    <hyperlink ref="F289" r:id="rId346" xr:uid="{00000000-0004-0000-0300-000059010000}"/>
    <hyperlink ref="F290" r:id="rId347" xr:uid="{00000000-0004-0000-0300-00005A010000}"/>
    <hyperlink ref="F291" r:id="rId348" xr:uid="{00000000-0004-0000-0300-00005B010000}"/>
    <hyperlink ref="G291" r:id="rId349" xr:uid="{00000000-0004-0000-0300-00005C010000}"/>
    <hyperlink ref="S291" r:id="rId350" xr:uid="{00000000-0004-0000-0300-00005D010000}"/>
    <hyperlink ref="F292" r:id="rId351" xr:uid="{00000000-0004-0000-0300-00005E010000}"/>
    <hyperlink ref="F293" r:id="rId352" xr:uid="{00000000-0004-0000-0300-00005F010000}"/>
    <hyperlink ref="F295" r:id="rId353" xr:uid="{00000000-0004-0000-0300-000060010000}"/>
    <hyperlink ref="G295" r:id="rId354" xr:uid="{00000000-0004-0000-0300-000061010000}"/>
    <hyperlink ref="G296" r:id="rId355" xr:uid="{00000000-0004-0000-0300-000062010000}"/>
    <hyperlink ref="F297" r:id="rId356" xr:uid="{00000000-0004-0000-0300-000063010000}"/>
    <hyperlink ref="F298" r:id="rId357" xr:uid="{00000000-0004-0000-0300-000064010000}"/>
    <hyperlink ref="S300" r:id="rId358" xr:uid="{00000000-0004-0000-0300-000065010000}"/>
    <hyperlink ref="F301" r:id="rId359" xr:uid="{00000000-0004-0000-0300-000066010000}"/>
    <hyperlink ref="G301" r:id="rId360" xr:uid="{00000000-0004-0000-0300-000067010000}"/>
    <hyperlink ref="G302" r:id="rId361" xr:uid="{00000000-0004-0000-0300-000068010000}"/>
    <hyperlink ref="F304" r:id="rId362" xr:uid="{00000000-0004-0000-0300-000069010000}"/>
    <hyperlink ref="F305" r:id="rId363" xr:uid="{00000000-0004-0000-0300-00006A010000}"/>
    <hyperlink ref="G306" r:id="rId364" xr:uid="{00000000-0004-0000-0300-00006B010000}"/>
    <hyperlink ref="S306" r:id="rId365" xr:uid="{00000000-0004-0000-0300-00006C010000}"/>
    <hyperlink ref="F307" r:id="rId366" xr:uid="{00000000-0004-0000-0300-00006D010000}"/>
    <hyperlink ref="G308" r:id="rId367" xr:uid="{00000000-0004-0000-0300-00006E010000}"/>
    <hyperlink ref="S308" r:id="rId368" xr:uid="{00000000-0004-0000-0300-00006F010000}"/>
    <hyperlink ref="F309" r:id="rId369" xr:uid="{00000000-0004-0000-0300-000070010000}"/>
    <hyperlink ref="F310" r:id="rId370" xr:uid="{00000000-0004-0000-0300-000071010000}"/>
    <hyperlink ref="G311" r:id="rId371" xr:uid="{00000000-0004-0000-0300-000072010000}"/>
    <hyperlink ref="F312" r:id="rId372" xr:uid="{00000000-0004-0000-0300-000073010000}"/>
    <hyperlink ref="G313" r:id="rId373" xr:uid="{00000000-0004-0000-0300-000074010000}"/>
    <hyperlink ref="F314" r:id="rId374" xr:uid="{00000000-0004-0000-0300-000075010000}"/>
    <hyperlink ref="G314" r:id="rId375" xr:uid="{00000000-0004-0000-0300-000076010000}"/>
    <hyperlink ref="G315" r:id="rId376" xr:uid="{00000000-0004-0000-0300-000077010000}"/>
    <hyperlink ref="F316" r:id="rId377" xr:uid="{00000000-0004-0000-0300-000078010000}"/>
    <hyperlink ref="F319" r:id="rId378" xr:uid="{00000000-0004-0000-0300-000079010000}"/>
    <hyperlink ref="F320" r:id="rId379" xr:uid="{00000000-0004-0000-0300-00007A010000}"/>
    <hyperlink ref="F321" r:id="rId380" xr:uid="{00000000-0004-0000-0300-00007B010000}"/>
    <hyperlink ref="G321" r:id="rId381" xr:uid="{00000000-0004-0000-0300-00007C010000}"/>
    <hyperlink ref="F322" r:id="rId382" xr:uid="{00000000-0004-0000-0300-00007D010000}"/>
    <hyperlink ref="G322" r:id="rId383" xr:uid="{00000000-0004-0000-0300-00007E010000}"/>
    <hyperlink ref="F323" r:id="rId384" xr:uid="{00000000-0004-0000-0300-00007F010000}"/>
    <hyperlink ref="S323" r:id="rId385" xr:uid="{00000000-0004-0000-0300-000080010000}"/>
    <hyperlink ref="F326" r:id="rId386" xr:uid="{00000000-0004-0000-0300-000081010000}"/>
    <hyperlink ref="F327" r:id="rId387" xr:uid="{00000000-0004-0000-0300-000082010000}"/>
    <hyperlink ref="F328" r:id="rId388" xr:uid="{00000000-0004-0000-0300-000083010000}"/>
    <hyperlink ref="C329" r:id="rId389" xr:uid="{00000000-0004-0000-0300-000084010000}"/>
    <hyperlink ref="F329" r:id="rId390" xr:uid="{00000000-0004-0000-0300-000085010000}"/>
    <hyperlink ref="S329" r:id="rId391" xr:uid="{00000000-0004-0000-0300-000086010000}"/>
    <hyperlink ref="F330" r:id="rId392" xr:uid="{00000000-0004-0000-0300-000087010000}"/>
    <hyperlink ref="G330" r:id="rId393" xr:uid="{00000000-0004-0000-0300-000088010000}"/>
    <hyperlink ref="S330" r:id="rId394" xr:uid="{00000000-0004-0000-0300-000089010000}"/>
    <hyperlink ref="C331" r:id="rId395" xr:uid="{00000000-0004-0000-0300-00008A010000}"/>
    <hyperlink ref="F331" r:id="rId396" xr:uid="{00000000-0004-0000-0300-00008B010000}"/>
    <hyperlink ref="G331" r:id="rId397" xr:uid="{00000000-0004-0000-0300-00008C010000}"/>
    <hyperlink ref="S331" r:id="rId398" xr:uid="{00000000-0004-0000-0300-00008D010000}"/>
    <hyperlink ref="F332" r:id="rId399" xr:uid="{00000000-0004-0000-0300-00008E010000}"/>
    <hyperlink ref="G332" r:id="rId400" xr:uid="{00000000-0004-0000-0300-00008F010000}"/>
    <hyperlink ref="G333" r:id="rId401" xr:uid="{00000000-0004-0000-0300-000090010000}"/>
    <hyperlink ref="F334" r:id="rId402" xr:uid="{00000000-0004-0000-0300-000091010000}"/>
    <hyperlink ref="G334" r:id="rId403" xr:uid="{00000000-0004-0000-0300-000092010000}"/>
    <hyperlink ref="S334" r:id="rId404" xr:uid="{00000000-0004-0000-0300-000093010000}"/>
    <hyperlink ref="F337" r:id="rId405" xr:uid="{00000000-0004-0000-0300-000094010000}"/>
    <hyperlink ref="S337" r:id="rId406" xr:uid="{00000000-0004-0000-0300-000095010000}"/>
    <hyperlink ref="F338" r:id="rId407" xr:uid="{00000000-0004-0000-0300-000096010000}"/>
    <hyperlink ref="S338" r:id="rId408" xr:uid="{00000000-0004-0000-0300-000097010000}"/>
    <hyperlink ref="G339" r:id="rId409" xr:uid="{00000000-0004-0000-0300-000098010000}"/>
    <hyperlink ref="G341" r:id="rId410" xr:uid="{00000000-0004-0000-0300-000099010000}"/>
    <hyperlink ref="F342" r:id="rId411" xr:uid="{00000000-0004-0000-0300-00009A010000}"/>
    <hyperlink ref="G343" r:id="rId412" xr:uid="{00000000-0004-0000-0300-00009B010000}"/>
    <hyperlink ref="G345" r:id="rId413" xr:uid="{00000000-0004-0000-0300-00009C010000}"/>
    <hyperlink ref="G348" r:id="rId414" xr:uid="{00000000-0004-0000-0300-00009D010000}"/>
    <hyperlink ref="S348" r:id="rId415" xr:uid="{00000000-0004-0000-0300-00009E010000}"/>
    <hyperlink ref="F349" r:id="rId416" xr:uid="{00000000-0004-0000-0300-00009F010000}"/>
    <hyperlink ref="G349" r:id="rId417" xr:uid="{00000000-0004-0000-0300-0000A0010000}"/>
    <hyperlink ref="G350" r:id="rId418" xr:uid="{00000000-0004-0000-0300-0000A1010000}"/>
    <hyperlink ref="S350" r:id="rId419" xr:uid="{00000000-0004-0000-0300-0000A2010000}"/>
    <hyperlink ref="S351" r:id="rId420" xr:uid="{00000000-0004-0000-0300-0000A3010000}"/>
    <hyperlink ref="G352" r:id="rId421" xr:uid="{00000000-0004-0000-0300-0000A4010000}"/>
    <hyperlink ref="F355" r:id="rId422" xr:uid="{00000000-0004-0000-0300-0000A5010000}"/>
    <hyperlink ref="S356" r:id="rId423" xr:uid="{00000000-0004-0000-0300-0000A6010000}"/>
    <hyperlink ref="F358" r:id="rId424" xr:uid="{00000000-0004-0000-0300-0000A7010000}"/>
    <hyperlink ref="F359" r:id="rId425" xr:uid="{00000000-0004-0000-0300-0000A8010000}"/>
    <hyperlink ref="F360" r:id="rId426" xr:uid="{00000000-0004-0000-0300-0000A9010000}"/>
    <hyperlink ref="S360" r:id="rId427" xr:uid="{00000000-0004-0000-0300-0000AA010000}"/>
    <hyperlink ref="F361" r:id="rId428" xr:uid="{00000000-0004-0000-0300-0000AB010000}"/>
    <hyperlink ref="F362" r:id="rId429" xr:uid="{00000000-0004-0000-0300-0000AC010000}"/>
    <hyperlink ref="F363" r:id="rId430" xr:uid="{00000000-0004-0000-0300-0000AD010000}"/>
    <hyperlink ref="F364" r:id="rId431" xr:uid="{00000000-0004-0000-0300-0000AE010000}"/>
    <hyperlink ref="F365" r:id="rId432" xr:uid="{00000000-0004-0000-0300-0000AF010000}"/>
    <hyperlink ref="S365" r:id="rId433" xr:uid="{00000000-0004-0000-0300-0000B0010000}"/>
    <hyperlink ref="F366" r:id="rId434" xr:uid="{00000000-0004-0000-0300-0000B1010000}"/>
    <hyperlink ref="G366" r:id="rId435" xr:uid="{00000000-0004-0000-0300-0000B2010000}"/>
    <hyperlink ref="G367" r:id="rId436" xr:uid="{00000000-0004-0000-0300-0000B3010000}"/>
    <hyperlink ref="G369" r:id="rId437" xr:uid="{00000000-0004-0000-0300-0000B4010000}"/>
    <hyperlink ref="F370" r:id="rId438" xr:uid="{00000000-0004-0000-0300-0000B5010000}"/>
    <hyperlink ref="G370" r:id="rId439" xr:uid="{00000000-0004-0000-0300-0000B6010000}"/>
    <hyperlink ref="F371" r:id="rId440" xr:uid="{00000000-0004-0000-0300-0000B7010000}"/>
    <hyperlink ref="G371" r:id="rId441" xr:uid="{00000000-0004-0000-0300-0000B8010000}"/>
    <hyperlink ref="F373" r:id="rId442" xr:uid="{00000000-0004-0000-0300-0000B9010000}"/>
    <hyperlink ref="S374" r:id="rId443" xr:uid="{00000000-0004-0000-0300-0000BA010000}"/>
    <hyperlink ref="F375" r:id="rId444" xr:uid="{00000000-0004-0000-0300-0000BB010000}"/>
    <hyperlink ref="F376" r:id="rId445" xr:uid="{00000000-0004-0000-0300-0000BC010000}"/>
    <hyperlink ref="G376" r:id="rId446" xr:uid="{00000000-0004-0000-0300-0000BD010000}"/>
    <hyperlink ref="F377" r:id="rId447" xr:uid="{00000000-0004-0000-0300-0000BE010000}"/>
    <hyperlink ref="F378" r:id="rId448" xr:uid="{00000000-0004-0000-0300-0000BF010000}"/>
    <hyperlink ref="F380" r:id="rId449" xr:uid="{00000000-0004-0000-0300-0000C0010000}"/>
    <hyperlink ref="F381" r:id="rId450" xr:uid="{00000000-0004-0000-0300-0000C1010000}"/>
    <hyperlink ref="F382" r:id="rId451" xr:uid="{00000000-0004-0000-0300-0000C2010000}"/>
    <hyperlink ref="F387" r:id="rId452" xr:uid="{00000000-0004-0000-0300-0000C3010000}"/>
    <hyperlink ref="G387" r:id="rId453" xr:uid="{00000000-0004-0000-0300-0000C4010000}"/>
    <hyperlink ref="S387" r:id="rId454" xr:uid="{00000000-0004-0000-0300-0000C5010000}"/>
    <hyperlink ref="F389" r:id="rId455" xr:uid="{00000000-0004-0000-0300-0000C6010000}"/>
    <hyperlink ref="F390" r:id="rId456" xr:uid="{00000000-0004-0000-0300-0000C7010000}"/>
    <hyperlink ref="F391" r:id="rId457" xr:uid="{00000000-0004-0000-0300-0000C8010000}"/>
    <hyperlink ref="F392" r:id="rId458" xr:uid="{00000000-0004-0000-0300-0000C9010000}"/>
    <hyperlink ref="G395" r:id="rId459" xr:uid="{00000000-0004-0000-0300-0000CA010000}"/>
    <hyperlink ref="S395" r:id="rId460" xr:uid="{00000000-0004-0000-0300-0000CB010000}"/>
    <hyperlink ref="F396" r:id="rId461" xr:uid="{00000000-0004-0000-0300-0000CC010000}"/>
    <hyperlink ref="S396" r:id="rId462" xr:uid="{00000000-0004-0000-0300-0000CD010000}"/>
    <hyperlink ref="F398" r:id="rId463" xr:uid="{00000000-0004-0000-0300-0000CE010000}"/>
    <hyperlink ref="F400" r:id="rId464" xr:uid="{00000000-0004-0000-0300-0000CF010000}"/>
    <hyperlink ref="F401" r:id="rId465" xr:uid="{00000000-0004-0000-0300-0000D0010000}"/>
    <hyperlink ref="G402" r:id="rId466" xr:uid="{00000000-0004-0000-0300-0000D1010000}"/>
    <hyperlink ref="S402" r:id="rId467" xr:uid="{00000000-0004-0000-0300-0000D2010000}"/>
    <hyperlink ref="F403" r:id="rId468" xr:uid="{00000000-0004-0000-0300-0000D3010000}"/>
    <hyperlink ref="F404" r:id="rId469" location="!/rivera-pide-dejar-a-un-lado-el-guerracivilismo-de-rojos-y-azules" xr:uid="{00000000-0004-0000-0300-0000D4010000}"/>
    <hyperlink ref="F405" r:id="rId470" location="!/rivera-pide-dejar-a-un-lado-el-guerracivilismo-de-rojos-y-azules" xr:uid="{00000000-0004-0000-0300-0000D5010000}"/>
    <hyperlink ref="S405" r:id="rId471" xr:uid="{00000000-0004-0000-0300-0000D6010000}"/>
    <hyperlink ref="F406" r:id="rId472" xr:uid="{00000000-0004-0000-0300-0000D7010000}"/>
    <hyperlink ref="S406" r:id="rId473" xr:uid="{00000000-0004-0000-0300-0000D8010000}"/>
    <hyperlink ref="F409" r:id="rId474" xr:uid="{00000000-0004-0000-0300-0000D9010000}"/>
    <hyperlink ref="S409" r:id="rId475" xr:uid="{00000000-0004-0000-0300-0000DA010000}"/>
    <hyperlink ref="F410" r:id="rId476" xr:uid="{00000000-0004-0000-0300-0000DB010000}"/>
    <hyperlink ref="G410" r:id="rId477" xr:uid="{00000000-0004-0000-0300-0000DC010000}"/>
    <hyperlink ref="S410" r:id="rId478" xr:uid="{00000000-0004-0000-0300-0000DD010000}"/>
    <hyperlink ref="F411" r:id="rId479" xr:uid="{00000000-0004-0000-0300-0000DE010000}"/>
    <hyperlink ref="F412" r:id="rId480" xr:uid="{00000000-0004-0000-0300-0000DF010000}"/>
    <hyperlink ref="G414" r:id="rId481" xr:uid="{00000000-0004-0000-0300-0000E0010000}"/>
    <hyperlink ref="F416" r:id="rId482" xr:uid="{00000000-0004-0000-0300-0000E1010000}"/>
    <hyperlink ref="S416" r:id="rId483" xr:uid="{00000000-0004-0000-0300-0000E2010000}"/>
    <hyperlink ref="F417" r:id="rId484" xr:uid="{00000000-0004-0000-0300-0000E3010000}"/>
    <hyperlink ref="F418" r:id="rId485" xr:uid="{00000000-0004-0000-0300-0000E4010000}"/>
    <hyperlink ref="F419" r:id="rId486" xr:uid="{00000000-0004-0000-0300-0000E5010000}"/>
    <hyperlink ref="F420" r:id="rId487" xr:uid="{00000000-0004-0000-0300-0000E6010000}"/>
    <hyperlink ref="F421" r:id="rId488" xr:uid="{00000000-0004-0000-0300-0000E7010000}"/>
    <hyperlink ref="G421" r:id="rId489" xr:uid="{00000000-0004-0000-0300-0000E8010000}"/>
    <hyperlink ref="S421" r:id="rId490" xr:uid="{00000000-0004-0000-0300-0000E9010000}"/>
    <hyperlink ref="F422" r:id="rId491" xr:uid="{00000000-0004-0000-0300-0000EA010000}"/>
    <hyperlink ref="F424" r:id="rId492" xr:uid="{00000000-0004-0000-0300-0000EB010000}"/>
    <hyperlink ref="F426" r:id="rId493" xr:uid="{00000000-0004-0000-0300-0000EC010000}"/>
    <hyperlink ref="S426" r:id="rId494" xr:uid="{00000000-0004-0000-0300-0000ED010000}"/>
    <hyperlink ref="F427" r:id="rId495" xr:uid="{00000000-0004-0000-0300-0000EE010000}"/>
    <hyperlink ref="G428" r:id="rId496" xr:uid="{00000000-0004-0000-0300-0000EF010000}"/>
    <hyperlink ref="F429" r:id="rId497" xr:uid="{00000000-0004-0000-0300-0000F0010000}"/>
    <hyperlink ref="G429" r:id="rId498" xr:uid="{00000000-0004-0000-0300-0000F1010000}"/>
    <hyperlink ref="F430" r:id="rId499" xr:uid="{00000000-0004-0000-0300-0000F2010000}"/>
    <hyperlink ref="G430" r:id="rId500" xr:uid="{00000000-0004-0000-0300-0000F3010000}"/>
    <hyperlink ref="F431" r:id="rId501" location="!/rivera-pide-dejar-a-un-lado-el-guerracivilismo-de-rojos-y-azules" xr:uid="{00000000-0004-0000-0300-0000F4010000}"/>
    <hyperlink ref="S431" r:id="rId502" xr:uid="{00000000-0004-0000-0300-0000F5010000}"/>
    <hyperlink ref="F433" r:id="rId503" xr:uid="{00000000-0004-0000-0300-0000F6010000}"/>
    <hyperlink ref="F434" r:id="rId504" xr:uid="{00000000-0004-0000-0300-0000F7010000}"/>
    <hyperlink ref="S434" r:id="rId505" xr:uid="{00000000-0004-0000-0300-0000F8010000}"/>
    <hyperlink ref="F435" r:id="rId506" xr:uid="{00000000-0004-0000-0300-0000F9010000}"/>
    <hyperlink ref="G435" r:id="rId507" xr:uid="{00000000-0004-0000-0300-0000FA010000}"/>
    <hyperlink ref="F436" r:id="rId508" xr:uid="{00000000-0004-0000-0300-0000FB010000}"/>
    <hyperlink ref="S436" r:id="rId509" xr:uid="{00000000-0004-0000-0300-0000FC010000}"/>
    <hyperlink ref="F438" r:id="rId510" xr:uid="{00000000-0004-0000-0300-0000FD010000}"/>
    <hyperlink ref="G439" r:id="rId511" xr:uid="{00000000-0004-0000-0300-0000FE010000}"/>
    <hyperlink ref="S439" r:id="rId512" xr:uid="{00000000-0004-0000-0300-0000FF010000}"/>
    <hyperlink ref="F440" r:id="rId513" xr:uid="{00000000-0004-0000-0300-000000020000}"/>
    <hyperlink ref="G440" r:id="rId514" xr:uid="{00000000-0004-0000-0300-000001020000}"/>
    <hyperlink ref="S440" r:id="rId515" xr:uid="{00000000-0004-0000-0300-000002020000}"/>
    <hyperlink ref="G441" r:id="rId516" xr:uid="{00000000-0004-0000-0300-000003020000}"/>
    <hyperlink ref="F442" r:id="rId517" xr:uid="{00000000-0004-0000-0300-000004020000}"/>
    <hyperlink ref="G442" r:id="rId518" xr:uid="{00000000-0004-0000-0300-000005020000}"/>
    <hyperlink ref="F443" r:id="rId519" xr:uid="{00000000-0004-0000-0300-000006020000}"/>
    <hyperlink ref="G443" r:id="rId520" xr:uid="{00000000-0004-0000-0300-000007020000}"/>
    <hyperlink ref="C444" r:id="rId521" xr:uid="{00000000-0004-0000-0300-000008020000}"/>
    <hyperlink ref="F444" r:id="rId522" xr:uid="{00000000-0004-0000-0300-000009020000}"/>
    <hyperlink ref="S444" r:id="rId523" xr:uid="{00000000-0004-0000-0300-00000A020000}"/>
    <hyperlink ref="F445" r:id="rId524" xr:uid="{00000000-0004-0000-0300-00000B020000}"/>
    <hyperlink ref="F446" r:id="rId525" xr:uid="{00000000-0004-0000-0300-00000C020000}"/>
    <hyperlink ref="G446" r:id="rId526" xr:uid="{00000000-0004-0000-0300-00000D020000}"/>
    <hyperlink ref="F447" r:id="rId527" xr:uid="{00000000-0004-0000-0300-00000E020000}"/>
    <hyperlink ref="G447" r:id="rId528" xr:uid="{00000000-0004-0000-0300-00000F020000}"/>
    <hyperlink ref="F448" r:id="rId529" xr:uid="{00000000-0004-0000-0300-000010020000}"/>
    <hyperlink ref="F449" r:id="rId530" xr:uid="{00000000-0004-0000-0300-000011020000}"/>
    <hyperlink ref="F450" r:id="rId531" xr:uid="{00000000-0004-0000-0300-000012020000}"/>
    <hyperlink ref="G450" r:id="rId532" xr:uid="{00000000-0004-0000-0300-000013020000}"/>
    <hyperlink ref="S450" r:id="rId533" xr:uid="{00000000-0004-0000-0300-000014020000}"/>
    <hyperlink ref="F451" r:id="rId534" xr:uid="{00000000-0004-0000-0300-000015020000}"/>
    <hyperlink ref="S451" r:id="rId535" xr:uid="{00000000-0004-0000-0300-000016020000}"/>
    <hyperlink ref="F452" r:id="rId536" xr:uid="{00000000-0004-0000-0300-000017020000}"/>
    <hyperlink ref="F453" r:id="rId537" xr:uid="{00000000-0004-0000-0300-000018020000}"/>
    <hyperlink ref="S453" r:id="rId538" xr:uid="{00000000-0004-0000-0300-000019020000}"/>
    <hyperlink ref="F454" r:id="rId539" xr:uid="{00000000-0004-0000-0300-00001A020000}"/>
    <hyperlink ref="G454" r:id="rId540" xr:uid="{00000000-0004-0000-0300-00001B020000}"/>
    <hyperlink ref="S454" r:id="rId541" xr:uid="{00000000-0004-0000-0300-00001C020000}"/>
    <hyperlink ref="F455" r:id="rId542" xr:uid="{00000000-0004-0000-0300-00001D020000}"/>
    <hyperlink ref="G455" r:id="rId543" xr:uid="{00000000-0004-0000-0300-00001E020000}"/>
    <hyperlink ref="S455" r:id="rId544" xr:uid="{00000000-0004-0000-0300-00001F020000}"/>
    <hyperlink ref="F457" r:id="rId545" xr:uid="{00000000-0004-0000-0300-000020020000}"/>
    <hyperlink ref="F458" r:id="rId546" xr:uid="{00000000-0004-0000-0300-000021020000}"/>
    <hyperlink ref="G459" r:id="rId547" xr:uid="{00000000-0004-0000-0300-000022020000}"/>
    <hyperlink ref="F460" r:id="rId548" xr:uid="{00000000-0004-0000-0300-000023020000}"/>
    <hyperlink ref="G460" r:id="rId549" xr:uid="{00000000-0004-0000-0300-000024020000}"/>
    <hyperlink ref="F461" r:id="rId550" xr:uid="{00000000-0004-0000-0300-000025020000}"/>
    <hyperlink ref="F462" r:id="rId551" xr:uid="{00000000-0004-0000-0300-000026020000}"/>
    <hyperlink ref="G462" r:id="rId552" xr:uid="{00000000-0004-0000-0300-000027020000}"/>
    <hyperlink ref="F463" r:id="rId553" xr:uid="{00000000-0004-0000-0300-000028020000}"/>
    <hyperlink ref="G463" r:id="rId554" xr:uid="{00000000-0004-0000-0300-000029020000}"/>
    <hyperlink ref="S463" r:id="rId555" xr:uid="{00000000-0004-0000-0300-00002A020000}"/>
    <hyperlink ref="F465" r:id="rId556" xr:uid="{00000000-0004-0000-0300-00002B020000}"/>
    <hyperlink ref="S465" r:id="rId557" xr:uid="{00000000-0004-0000-0300-00002C020000}"/>
    <hyperlink ref="G467" r:id="rId558" xr:uid="{00000000-0004-0000-0300-00002D020000}"/>
    <hyperlink ref="S468" r:id="rId559" xr:uid="{00000000-0004-0000-0300-00002E020000}"/>
    <hyperlink ref="F469" r:id="rId560" xr:uid="{00000000-0004-0000-0300-00002F020000}"/>
    <hyperlink ref="F470" r:id="rId561" xr:uid="{00000000-0004-0000-0300-000030020000}"/>
    <hyperlink ref="F472" r:id="rId562" xr:uid="{00000000-0004-0000-0300-000031020000}"/>
    <hyperlink ref="F474" r:id="rId563" xr:uid="{00000000-0004-0000-0300-000032020000}"/>
    <hyperlink ref="F475" r:id="rId564" xr:uid="{00000000-0004-0000-0300-000033020000}"/>
    <hyperlink ref="G475" r:id="rId565" xr:uid="{00000000-0004-0000-0300-000034020000}"/>
    <hyperlink ref="F476" r:id="rId566" xr:uid="{00000000-0004-0000-0300-000035020000}"/>
    <hyperlink ref="S476" r:id="rId567" xr:uid="{00000000-0004-0000-0300-000036020000}"/>
    <hyperlink ref="F477" r:id="rId568" xr:uid="{00000000-0004-0000-0300-000037020000}"/>
    <hyperlink ref="S478" r:id="rId569" xr:uid="{00000000-0004-0000-0300-000038020000}"/>
    <hyperlink ref="F479" r:id="rId570" xr:uid="{00000000-0004-0000-0300-000039020000}"/>
    <hyperlink ref="F480" r:id="rId571" xr:uid="{00000000-0004-0000-0300-00003A020000}"/>
    <hyperlink ref="F482" r:id="rId572" xr:uid="{00000000-0004-0000-0300-00003B020000}"/>
    <hyperlink ref="G482" r:id="rId573" xr:uid="{00000000-0004-0000-0300-00003C020000}"/>
    <hyperlink ref="F483" r:id="rId574" xr:uid="{00000000-0004-0000-0300-00003D020000}"/>
    <hyperlink ref="F485" r:id="rId575" xr:uid="{00000000-0004-0000-0300-00003E020000}"/>
    <hyperlink ref="F486" r:id="rId576" xr:uid="{00000000-0004-0000-0300-00003F020000}"/>
    <hyperlink ref="S487" r:id="rId577" xr:uid="{00000000-0004-0000-0300-000040020000}"/>
    <hyperlink ref="G488" r:id="rId578" xr:uid="{00000000-0004-0000-0300-000041020000}"/>
    <hyperlink ref="F490" r:id="rId579" xr:uid="{00000000-0004-0000-0300-000042020000}"/>
    <hyperlink ref="F491" r:id="rId580" xr:uid="{00000000-0004-0000-0300-000043020000}"/>
    <hyperlink ref="G491" r:id="rId581" xr:uid="{00000000-0004-0000-0300-000044020000}"/>
    <hyperlink ref="F492" r:id="rId582" xr:uid="{00000000-0004-0000-0300-000045020000}"/>
    <hyperlink ref="G492" r:id="rId583" xr:uid="{00000000-0004-0000-0300-000046020000}"/>
    <hyperlink ref="G494" r:id="rId584" xr:uid="{00000000-0004-0000-0300-000047020000}"/>
    <hyperlink ref="F495" r:id="rId585" xr:uid="{00000000-0004-0000-0300-000048020000}"/>
    <hyperlink ref="S496" r:id="rId586" xr:uid="{00000000-0004-0000-0300-000049020000}"/>
    <hyperlink ref="F497" r:id="rId587" xr:uid="{00000000-0004-0000-0300-00004A020000}"/>
    <hyperlink ref="F498" r:id="rId588" xr:uid="{00000000-0004-0000-0300-00004B020000}"/>
    <hyperlink ref="G498" r:id="rId589" xr:uid="{00000000-0004-0000-0300-00004C020000}"/>
    <hyperlink ref="F499" r:id="rId590" xr:uid="{00000000-0004-0000-0300-00004D020000}"/>
    <hyperlink ref="S499" r:id="rId591" xr:uid="{00000000-0004-0000-0300-00004E020000}"/>
    <hyperlink ref="F500" r:id="rId592" xr:uid="{00000000-0004-0000-0300-00004F020000}"/>
    <hyperlink ref="F502" r:id="rId593" xr:uid="{00000000-0004-0000-0300-000050020000}"/>
    <hyperlink ref="S502" r:id="rId594" xr:uid="{00000000-0004-0000-0300-000051020000}"/>
    <hyperlink ref="F505" r:id="rId595" xr:uid="{00000000-0004-0000-0300-000052020000}"/>
    <hyperlink ref="G505" r:id="rId596" xr:uid="{00000000-0004-0000-0300-000053020000}"/>
    <hyperlink ref="F506" r:id="rId597" xr:uid="{00000000-0004-0000-0300-000054020000}"/>
    <hyperlink ref="G506" r:id="rId598" xr:uid="{00000000-0004-0000-0300-000055020000}"/>
    <hyperlink ref="F507" r:id="rId599" xr:uid="{00000000-0004-0000-0300-000056020000}"/>
    <hyperlink ref="F509" r:id="rId600" xr:uid="{00000000-0004-0000-0300-000057020000}"/>
    <hyperlink ref="G510" r:id="rId601" xr:uid="{00000000-0004-0000-0300-000058020000}"/>
    <hyperlink ref="F512" r:id="rId602" xr:uid="{00000000-0004-0000-0300-000059020000}"/>
    <hyperlink ref="F513" r:id="rId603" xr:uid="{00000000-0004-0000-0300-00005A020000}"/>
    <hyperlink ref="S513" r:id="rId604" xr:uid="{00000000-0004-0000-0300-00005B020000}"/>
    <hyperlink ref="F516" r:id="rId605" xr:uid="{00000000-0004-0000-0300-00005C020000}"/>
    <hyperlink ref="G516" r:id="rId606" xr:uid="{00000000-0004-0000-0300-00005D020000}"/>
    <hyperlink ref="F517" r:id="rId607" xr:uid="{00000000-0004-0000-0300-00005E020000}"/>
    <hyperlink ref="F518" r:id="rId608" xr:uid="{00000000-0004-0000-0300-00005F020000}"/>
    <hyperlink ref="G519" r:id="rId609" xr:uid="{00000000-0004-0000-0300-000060020000}"/>
    <hyperlink ref="F520" r:id="rId610" xr:uid="{00000000-0004-0000-0300-000061020000}"/>
    <hyperlink ref="G520" r:id="rId611" xr:uid="{00000000-0004-0000-0300-000062020000}"/>
    <hyperlink ref="F521" r:id="rId612" xr:uid="{00000000-0004-0000-0300-000063020000}"/>
    <hyperlink ref="F522" r:id="rId613" xr:uid="{00000000-0004-0000-0300-000064020000}"/>
    <hyperlink ref="S523" r:id="rId614" xr:uid="{00000000-0004-0000-0300-000065020000}"/>
    <hyperlink ref="F524" r:id="rId615" xr:uid="{00000000-0004-0000-0300-000066020000}"/>
    <hyperlink ref="S524" r:id="rId616" xr:uid="{00000000-0004-0000-0300-000067020000}"/>
    <hyperlink ref="G525" r:id="rId617" xr:uid="{00000000-0004-0000-0300-000068020000}"/>
    <hyperlink ref="S525" r:id="rId618" xr:uid="{00000000-0004-0000-0300-000069020000}"/>
    <hyperlink ref="F526" r:id="rId619" xr:uid="{00000000-0004-0000-0300-00006A020000}"/>
    <hyperlink ref="F527" r:id="rId620" xr:uid="{00000000-0004-0000-0300-00006B020000}"/>
    <hyperlink ref="F528" r:id="rId621" xr:uid="{00000000-0004-0000-0300-00006C020000}"/>
    <hyperlink ref="F529" r:id="rId622" xr:uid="{00000000-0004-0000-0300-00006D020000}"/>
    <hyperlink ref="S529" r:id="rId623" xr:uid="{00000000-0004-0000-0300-00006E020000}"/>
    <hyperlink ref="F531" r:id="rId624" xr:uid="{00000000-0004-0000-0300-00006F020000}"/>
    <hyperlink ref="F532" r:id="rId625" xr:uid="{00000000-0004-0000-0300-000070020000}"/>
    <hyperlink ref="G532" r:id="rId626" xr:uid="{00000000-0004-0000-0300-000071020000}"/>
    <hyperlink ref="F534" r:id="rId627" xr:uid="{00000000-0004-0000-0300-000072020000}"/>
    <hyperlink ref="F535" r:id="rId628" xr:uid="{00000000-0004-0000-0300-000073020000}"/>
    <hyperlink ref="S535" r:id="rId629" xr:uid="{00000000-0004-0000-0300-000074020000}"/>
    <hyperlink ref="F536" r:id="rId630" xr:uid="{00000000-0004-0000-0300-000075020000}"/>
    <hyperlink ref="G536" r:id="rId631" xr:uid="{00000000-0004-0000-0300-000076020000}"/>
    <hyperlink ref="S537" r:id="rId632" xr:uid="{00000000-0004-0000-0300-000077020000}"/>
    <hyperlink ref="S540" r:id="rId633" xr:uid="{00000000-0004-0000-0300-000078020000}"/>
    <hyperlink ref="F541" r:id="rId634" xr:uid="{00000000-0004-0000-0300-000079020000}"/>
    <hyperlink ref="F542" r:id="rId635" xr:uid="{00000000-0004-0000-0300-00007A020000}"/>
    <hyperlink ref="F543" r:id="rId636" xr:uid="{00000000-0004-0000-0300-00007B020000}"/>
    <hyperlink ref="S543" r:id="rId637" xr:uid="{00000000-0004-0000-0300-00007C020000}"/>
    <hyperlink ref="G544" r:id="rId638" xr:uid="{00000000-0004-0000-0300-00007D020000}"/>
    <hyperlink ref="S544" r:id="rId639" xr:uid="{00000000-0004-0000-0300-00007E020000}"/>
    <hyperlink ref="G545" r:id="rId640" xr:uid="{00000000-0004-0000-0300-00007F020000}"/>
    <hyperlink ref="S545" r:id="rId641" xr:uid="{00000000-0004-0000-0300-000080020000}"/>
    <hyperlink ref="G546" r:id="rId642" xr:uid="{00000000-0004-0000-0300-000081020000}"/>
    <hyperlink ref="S546" r:id="rId643" xr:uid="{00000000-0004-0000-0300-000082020000}"/>
    <hyperlink ref="F548" r:id="rId644" xr:uid="{00000000-0004-0000-0300-000083020000}"/>
    <hyperlink ref="G548" r:id="rId645" xr:uid="{00000000-0004-0000-0300-000084020000}"/>
    <hyperlink ref="G549" r:id="rId646" xr:uid="{00000000-0004-0000-0300-000085020000}"/>
    <hyperlink ref="F550" r:id="rId647" xr:uid="{00000000-0004-0000-0300-000086020000}"/>
    <hyperlink ref="F551" r:id="rId648" xr:uid="{00000000-0004-0000-0300-000087020000}"/>
    <hyperlink ref="F552" r:id="rId649" xr:uid="{00000000-0004-0000-0300-000088020000}"/>
    <hyperlink ref="S552" r:id="rId650" xr:uid="{00000000-0004-0000-0300-000089020000}"/>
    <hyperlink ref="F553" r:id="rId651" xr:uid="{00000000-0004-0000-0300-00008A020000}"/>
    <hyperlink ref="G553" r:id="rId652" xr:uid="{00000000-0004-0000-0300-00008B020000}"/>
    <hyperlink ref="S553" r:id="rId653" xr:uid="{00000000-0004-0000-0300-00008C020000}"/>
    <hyperlink ref="F555" r:id="rId654" xr:uid="{00000000-0004-0000-0300-00008D020000}"/>
    <hyperlink ref="G556" r:id="rId655" xr:uid="{00000000-0004-0000-0300-00008E020000}"/>
    <hyperlink ref="S556" r:id="rId656" xr:uid="{00000000-0004-0000-0300-00008F020000}"/>
    <hyperlink ref="F557" r:id="rId657" xr:uid="{00000000-0004-0000-0300-000090020000}"/>
    <hyperlink ref="F558" r:id="rId658" xr:uid="{00000000-0004-0000-0300-000091020000}"/>
    <hyperlink ref="F559" r:id="rId659" xr:uid="{00000000-0004-0000-0300-000092020000}"/>
    <hyperlink ref="S560" r:id="rId660" xr:uid="{00000000-0004-0000-0300-000093020000}"/>
    <hyperlink ref="F561" r:id="rId661" xr:uid="{00000000-0004-0000-0300-000094020000}"/>
    <hyperlink ref="S561" r:id="rId662" xr:uid="{00000000-0004-0000-0300-000095020000}"/>
    <hyperlink ref="F562" r:id="rId663" xr:uid="{00000000-0004-0000-0300-000096020000}"/>
    <hyperlink ref="F565" r:id="rId664" xr:uid="{00000000-0004-0000-0300-000097020000}"/>
    <hyperlink ref="S565" r:id="rId665" xr:uid="{00000000-0004-0000-0300-000098020000}"/>
    <hyperlink ref="F566" r:id="rId666" xr:uid="{00000000-0004-0000-0300-000099020000}"/>
    <hyperlink ref="G567" r:id="rId667" xr:uid="{00000000-0004-0000-0300-00009A020000}"/>
    <hyperlink ref="G568" r:id="rId668" xr:uid="{00000000-0004-0000-0300-00009B020000}"/>
    <hyperlink ref="S568" r:id="rId669" xr:uid="{00000000-0004-0000-0300-00009C020000}"/>
    <hyperlink ref="F569" r:id="rId670" xr:uid="{00000000-0004-0000-0300-00009D020000}"/>
    <hyperlink ref="F570" r:id="rId671" xr:uid="{00000000-0004-0000-0300-00009E020000}"/>
    <hyperlink ref="S571" r:id="rId672" xr:uid="{00000000-0004-0000-0300-00009F020000}"/>
    <hyperlink ref="F572" r:id="rId673" xr:uid="{00000000-0004-0000-0300-0000A0020000}"/>
    <hyperlink ref="S572" r:id="rId674" xr:uid="{00000000-0004-0000-0300-0000A1020000}"/>
    <hyperlink ref="F573" r:id="rId675" xr:uid="{00000000-0004-0000-0300-0000A2020000}"/>
    <hyperlink ref="S573" r:id="rId676" xr:uid="{00000000-0004-0000-0300-0000A3020000}"/>
    <hyperlink ref="G574" r:id="rId677" xr:uid="{00000000-0004-0000-0300-0000A4020000}"/>
    <hyperlink ref="S574" r:id="rId678" xr:uid="{00000000-0004-0000-0300-0000A5020000}"/>
    <hyperlink ref="F575" r:id="rId679" xr:uid="{00000000-0004-0000-0300-0000A6020000}"/>
    <hyperlink ref="G575" r:id="rId680" xr:uid="{00000000-0004-0000-0300-0000A7020000}"/>
    <hyperlink ref="F576" r:id="rId681" xr:uid="{00000000-0004-0000-0300-0000A8020000}"/>
    <hyperlink ref="S576" r:id="rId682" xr:uid="{00000000-0004-0000-0300-0000A9020000}"/>
    <hyperlink ref="F578" r:id="rId683" xr:uid="{00000000-0004-0000-0300-0000AA020000}"/>
    <hyperlink ref="F579" r:id="rId684" xr:uid="{00000000-0004-0000-0300-0000AB020000}"/>
    <hyperlink ref="S579" r:id="rId685" xr:uid="{00000000-0004-0000-0300-0000AC020000}"/>
    <hyperlink ref="G580" r:id="rId686" xr:uid="{00000000-0004-0000-0300-0000AD020000}"/>
    <hyperlink ref="F581" r:id="rId687" xr:uid="{00000000-0004-0000-0300-0000AE020000}"/>
    <hyperlink ref="S581" r:id="rId688" xr:uid="{00000000-0004-0000-0300-0000AF020000}"/>
    <hyperlink ref="F582" r:id="rId689" xr:uid="{00000000-0004-0000-0300-0000B0020000}"/>
    <hyperlink ref="G584" r:id="rId690" xr:uid="{00000000-0004-0000-0300-0000B1020000}"/>
    <hyperlink ref="S584" r:id="rId691" xr:uid="{00000000-0004-0000-0300-0000B2020000}"/>
    <hyperlink ref="F585" r:id="rId692" xr:uid="{00000000-0004-0000-0300-0000B3020000}"/>
    <hyperlink ref="F586" r:id="rId693" xr:uid="{00000000-0004-0000-0300-0000B4020000}"/>
    <hyperlink ref="S586" r:id="rId694" xr:uid="{00000000-0004-0000-0300-0000B5020000}"/>
    <hyperlink ref="F587" r:id="rId695" xr:uid="{00000000-0004-0000-0300-0000B6020000}"/>
    <hyperlink ref="F588" r:id="rId696" xr:uid="{00000000-0004-0000-0300-0000B7020000}"/>
    <hyperlink ref="G588" r:id="rId697" xr:uid="{00000000-0004-0000-0300-0000B8020000}"/>
    <hyperlink ref="F589" r:id="rId698" xr:uid="{00000000-0004-0000-0300-0000B9020000}"/>
    <hyperlink ref="G591" r:id="rId699" xr:uid="{00000000-0004-0000-0300-0000BA020000}"/>
    <hyperlink ref="S591" r:id="rId700" xr:uid="{00000000-0004-0000-0300-0000BB020000}"/>
    <hyperlink ref="F592" r:id="rId701" xr:uid="{00000000-0004-0000-0300-0000BC020000}"/>
    <hyperlink ref="G593" r:id="rId702" xr:uid="{00000000-0004-0000-0300-0000BD020000}"/>
    <hyperlink ref="S593" r:id="rId703" xr:uid="{00000000-0004-0000-0300-0000BE020000}"/>
    <hyperlink ref="F594" r:id="rId704" xr:uid="{00000000-0004-0000-0300-0000BF020000}"/>
    <hyperlink ref="F596" r:id="rId705" xr:uid="{00000000-0004-0000-0300-0000C0020000}"/>
    <hyperlink ref="S596" r:id="rId706" xr:uid="{00000000-0004-0000-0300-0000C1020000}"/>
    <hyperlink ref="F597" r:id="rId707" xr:uid="{00000000-0004-0000-0300-0000C2020000}"/>
    <hyperlink ref="F598" r:id="rId708" xr:uid="{00000000-0004-0000-0300-0000C3020000}"/>
    <hyperlink ref="S598" r:id="rId709" xr:uid="{00000000-0004-0000-0300-0000C4020000}"/>
    <hyperlink ref="F599" r:id="rId710" xr:uid="{00000000-0004-0000-0300-0000C5020000}"/>
    <hyperlink ref="G601" r:id="rId711" xr:uid="{00000000-0004-0000-0300-0000C6020000}"/>
    <hyperlink ref="S601" r:id="rId712" xr:uid="{00000000-0004-0000-0300-0000C7020000}"/>
    <hyperlink ref="F602" r:id="rId713" xr:uid="{00000000-0004-0000-0300-0000C8020000}"/>
    <hyperlink ref="G602" r:id="rId714" xr:uid="{00000000-0004-0000-0300-0000C9020000}"/>
    <hyperlink ref="F603" r:id="rId715" xr:uid="{00000000-0004-0000-0300-0000CA020000}"/>
    <hyperlink ref="G603" r:id="rId716" xr:uid="{00000000-0004-0000-0300-0000CB020000}"/>
    <hyperlink ref="S603" r:id="rId717" xr:uid="{00000000-0004-0000-0300-0000CC020000}"/>
    <hyperlink ref="G604" r:id="rId718" xr:uid="{00000000-0004-0000-0300-0000CD020000}"/>
    <hyperlink ref="S604" r:id="rId719" xr:uid="{00000000-0004-0000-0300-0000CE020000}"/>
    <hyperlink ref="S607" r:id="rId720" xr:uid="{00000000-0004-0000-0300-0000CF020000}"/>
    <hyperlink ref="F608" r:id="rId721" xr:uid="{00000000-0004-0000-0300-0000D0020000}"/>
    <hyperlink ref="S608" r:id="rId722" xr:uid="{00000000-0004-0000-0300-0000D1020000}"/>
    <hyperlink ref="G609" r:id="rId723" xr:uid="{00000000-0004-0000-0300-0000D2020000}"/>
    <hyperlink ref="F610" r:id="rId724" xr:uid="{00000000-0004-0000-0300-0000D3020000}"/>
    <hyperlink ref="G610" r:id="rId725" xr:uid="{00000000-0004-0000-0300-0000D4020000}"/>
    <hyperlink ref="S610" r:id="rId726" xr:uid="{00000000-0004-0000-0300-0000D5020000}"/>
    <hyperlink ref="S611" r:id="rId727" xr:uid="{00000000-0004-0000-0300-0000D6020000}"/>
    <hyperlink ref="F612" r:id="rId728" xr:uid="{00000000-0004-0000-0300-0000D7020000}"/>
    <hyperlink ref="S612" r:id="rId729" xr:uid="{00000000-0004-0000-0300-0000D8020000}"/>
    <hyperlink ref="G613" r:id="rId730" xr:uid="{00000000-0004-0000-0300-0000D9020000}"/>
    <hyperlink ref="S613" r:id="rId731" xr:uid="{00000000-0004-0000-0300-0000DA020000}"/>
    <hyperlink ref="F614" r:id="rId732" xr:uid="{00000000-0004-0000-0300-0000DB020000}"/>
    <hyperlink ref="F615" r:id="rId733" xr:uid="{00000000-0004-0000-0300-0000DC020000}"/>
    <hyperlink ref="G615" r:id="rId734" xr:uid="{00000000-0004-0000-0300-0000DD020000}"/>
    <hyperlink ref="S616" r:id="rId735" xr:uid="{00000000-0004-0000-0300-0000DE020000}"/>
    <hyperlink ref="S617" r:id="rId736" xr:uid="{00000000-0004-0000-0300-0000DF020000}"/>
    <hyperlink ref="F619" r:id="rId737" xr:uid="{00000000-0004-0000-0300-0000E0020000}"/>
    <hyperlink ref="S621" r:id="rId738" xr:uid="{00000000-0004-0000-0300-0000E1020000}"/>
    <hyperlink ref="G622" r:id="rId739" xr:uid="{00000000-0004-0000-0300-0000E2020000}"/>
    <hyperlink ref="S623" r:id="rId740" xr:uid="{00000000-0004-0000-0300-0000E3020000}"/>
    <hyperlink ref="G624" r:id="rId741" xr:uid="{00000000-0004-0000-0300-0000E4020000}"/>
    <hyperlink ref="S624" r:id="rId742" xr:uid="{00000000-0004-0000-0300-0000E5020000}"/>
    <hyperlink ref="G625" r:id="rId743" xr:uid="{00000000-0004-0000-0300-0000E6020000}"/>
    <hyperlink ref="G626" r:id="rId744" xr:uid="{00000000-0004-0000-0300-0000E7020000}"/>
    <hyperlink ref="F627" r:id="rId745" xr:uid="{00000000-0004-0000-0300-0000E8020000}"/>
    <hyperlink ref="F628" r:id="rId746" xr:uid="{00000000-0004-0000-0300-0000E9020000}"/>
    <hyperlink ref="F629" r:id="rId747" xr:uid="{00000000-0004-0000-0300-0000EA020000}"/>
    <hyperlink ref="F630" r:id="rId748" xr:uid="{00000000-0004-0000-0300-0000EB020000}"/>
    <hyperlink ref="S630" r:id="rId749" xr:uid="{00000000-0004-0000-0300-0000EC020000}"/>
    <hyperlink ref="F632" r:id="rId750" xr:uid="{00000000-0004-0000-0300-0000ED020000}"/>
    <hyperlink ref="F633" r:id="rId751" xr:uid="{00000000-0004-0000-0300-0000EE020000}"/>
    <hyperlink ref="G633" r:id="rId752" xr:uid="{00000000-0004-0000-0300-0000EF020000}"/>
    <hyperlink ref="F635" r:id="rId753" xr:uid="{00000000-0004-0000-0300-0000F0020000}"/>
    <hyperlink ref="F637" r:id="rId754" xr:uid="{00000000-0004-0000-0300-0000F1020000}"/>
    <hyperlink ref="S637" r:id="rId755" xr:uid="{00000000-0004-0000-0300-0000F2020000}"/>
    <hyperlink ref="G639" r:id="rId756" xr:uid="{00000000-0004-0000-0300-0000F3020000}"/>
    <hyperlink ref="G641" r:id="rId757" xr:uid="{00000000-0004-0000-0300-0000F4020000}"/>
    <hyperlink ref="S641" r:id="rId758" xr:uid="{00000000-0004-0000-0300-0000F5020000}"/>
    <hyperlink ref="G642" r:id="rId759" xr:uid="{00000000-0004-0000-0300-0000F6020000}"/>
    <hyperlink ref="F643" r:id="rId760" xr:uid="{00000000-0004-0000-0300-0000F7020000}"/>
    <hyperlink ref="S643" r:id="rId761" xr:uid="{00000000-0004-0000-0300-0000F8020000}"/>
    <hyperlink ref="G644" r:id="rId762" xr:uid="{00000000-0004-0000-0300-0000F9020000}"/>
    <hyperlink ref="S644" r:id="rId763" xr:uid="{00000000-0004-0000-0300-0000FA020000}"/>
    <hyperlink ref="F645" r:id="rId764" xr:uid="{00000000-0004-0000-0300-0000FB020000}"/>
    <hyperlink ref="S645" r:id="rId765" xr:uid="{00000000-0004-0000-0300-0000FC020000}"/>
    <hyperlink ref="G646" r:id="rId766" xr:uid="{00000000-0004-0000-0300-0000FD020000}"/>
    <hyperlink ref="S646" r:id="rId767" xr:uid="{00000000-0004-0000-0300-0000FE020000}"/>
    <hyperlink ref="S647" r:id="rId768" xr:uid="{00000000-0004-0000-0300-0000FF020000}"/>
    <hyperlink ref="F648" r:id="rId769" xr:uid="{00000000-0004-0000-0300-000000030000}"/>
    <hyperlink ref="G648" r:id="rId770" xr:uid="{00000000-0004-0000-0300-000001030000}"/>
    <hyperlink ref="G649" r:id="rId771" xr:uid="{00000000-0004-0000-0300-000002030000}"/>
    <hyperlink ref="S649" r:id="rId772" xr:uid="{00000000-0004-0000-0300-000003030000}"/>
    <hyperlink ref="F650" r:id="rId773" xr:uid="{00000000-0004-0000-0300-000004030000}"/>
    <hyperlink ref="F651" r:id="rId774" xr:uid="{00000000-0004-0000-0300-000005030000}"/>
    <hyperlink ref="G651" r:id="rId775" xr:uid="{00000000-0004-0000-0300-000006030000}"/>
    <hyperlink ref="F652" r:id="rId776" xr:uid="{00000000-0004-0000-0300-000007030000}"/>
    <hyperlink ref="S652" r:id="rId777" xr:uid="{00000000-0004-0000-0300-000008030000}"/>
    <hyperlink ref="F653" r:id="rId778" xr:uid="{00000000-0004-0000-0300-000009030000}"/>
    <hyperlink ref="G654" r:id="rId779" xr:uid="{00000000-0004-0000-0300-00000A030000}"/>
    <hyperlink ref="S654" r:id="rId780" xr:uid="{00000000-0004-0000-0300-00000B030000}"/>
    <hyperlink ref="F656" r:id="rId781" xr:uid="{00000000-0004-0000-0300-00000C030000}"/>
    <hyperlink ref="S656" r:id="rId782" xr:uid="{00000000-0004-0000-0300-00000D030000}"/>
    <hyperlink ref="S658" r:id="rId783" xr:uid="{00000000-0004-0000-0300-00000E030000}"/>
    <hyperlink ref="F659" r:id="rId784" xr:uid="{00000000-0004-0000-0300-00000F030000}"/>
    <hyperlink ref="G659" r:id="rId785" xr:uid="{00000000-0004-0000-0300-000010030000}"/>
    <hyperlink ref="S659" r:id="rId786" xr:uid="{00000000-0004-0000-0300-000011030000}"/>
    <hyperlink ref="G660" r:id="rId787" xr:uid="{00000000-0004-0000-0300-000012030000}"/>
    <hyperlink ref="F661" r:id="rId788" xr:uid="{00000000-0004-0000-0300-000013030000}"/>
    <hyperlink ref="G661" r:id="rId789" xr:uid="{00000000-0004-0000-0300-000014030000}"/>
    <hyperlink ref="F662" r:id="rId790" xr:uid="{00000000-0004-0000-0300-000015030000}"/>
    <hyperlink ref="G662" r:id="rId791" xr:uid="{00000000-0004-0000-0300-000016030000}"/>
    <hyperlink ref="S662" r:id="rId792" xr:uid="{00000000-0004-0000-0300-000017030000}"/>
    <hyperlink ref="F665" r:id="rId793" xr:uid="{00000000-0004-0000-0300-000018030000}"/>
    <hyperlink ref="S665" r:id="rId794" xr:uid="{00000000-0004-0000-0300-000019030000}"/>
    <hyperlink ref="G666" r:id="rId795" xr:uid="{00000000-0004-0000-0300-00001A030000}"/>
    <hyperlink ref="F668" r:id="rId796" xr:uid="{00000000-0004-0000-0300-00001B030000}"/>
    <hyperlink ref="G668" r:id="rId797" xr:uid="{00000000-0004-0000-0300-00001C030000}"/>
    <hyperlink ref="S668" r:id="rId798" xr:uid="{00000000-0004-0000-0300-00001D030000}"/>
    <hyperlink ref="F669" r:id="rId799" xr:uid="{00000000-0004-0000-0300-00001E030000}"/>
    <hyperlink ref="S669" r:id="rId800" xr:uid="{00000000-0004-0000-0300-00001F030000}"/>
    <hyperlink ref="F670" r:id="rId801" xr:uid="{00000000-0004-0000-0300-000020030000}"/>
    <hyperlink ref="G670" r:id="rId802" xr:uid="{00000000-0004-0000-0300-000021030000}"/>
    <hyperlink ref="S670" r:id="rId803" xr:uid="{00000000-0004-0000-0300-000022030000}"/>
    <hyperlink ref="F671" r:id="rId804" xr:uid="{00000000-0004-0000-0300-000023030000}"/>
    <hyperlink ref="F672" r:id="rId805" xr:uid="{00000000-0004-0000-0300-000024030000}"/>
    <hyperlink ref="S672" r:id="rId806" xr:uid="{00000000-0004-0000-0300-000025030000}"/>
    <hyperlink ref="F673" r:id="rId807" xr:uid="{00000000-0004-0000-0300-000026030000}"/>
    <hyperlink ref="F674" r:id="rId808" xr:uid="{00000000-0004-0000-0300-000027030000}"/>
    <hyperlink ref="G674" r:id="rId809" xr:uid="{00000000-0004-0000-0300-000028030000}"/>
    <hyperlink ref="S674" r:id="rId810" xr:uid="{00000000-0004-0000-0300-000029030000}"/>
    <hyperlink ref="G675" r:id="rId811" xr:uid="{00000000-0004-0000-0300-00002A030000}"/>
    <hyperlink ref="S675" r:id="rId812" xr:uid="{00000000-0004-0000-0300-00002B030000}"/>
    <hyperlink ref="F676" r:id="rId813" xr:uid="{00000000-0004-0000-0300-00002C030000}"/>
    <hyperlink ref="S676" r:id="rId814" xr:uid="{00000000-0004-0000-0300-00002D030000}"/>
    <hyperlink ref="G677" r:id="rId815" xr:uid="{00000000-0004-0000-0300-00002E030000}"/>
    <hyperlink ref="S678" r:id="rId816" xr:uid="{00000000-0004-0000-0300-00002F030000}"/>
    <hyperlink ref="F679" r:id="rId817" xr:uid="{00000000-0004-0000-0300-000030030000}"/>
    <hyperlink ref="S679" r:id="rId818" xr:uid="{00000000-0004-0000-0300-000031030000}"/>
    <hyperlink ref="F680" r:id="rId819" xr:uid="{00000000-0004-0000-0300-000032030000}"/>
    <hyperlink ref="G681" r:id="rId820" xr:uid="{00000000-0004-0000-0300-000033030000}"/>
    <hyperlink ref="S681" r:id="rId821" xr:uid="{00000000-0004-0000-0300-000034030000}"/>
    <hyperlink ref="F682" r:id="rId822" xr:uid="{00000000-0004-0000-0300-000035030000}"/>
    <hyperlink ref="S682" r:id="rId823" xr:uid="{00000000-0004-0000-0300-000036030000}"/>
    <hyperlink ref="G683" r:id="rId824" xr:uid="{00000000-0004-0000-0300-000037030000}"/>
    <hyperlink ref="S683" r:id="rId825" xr:uid="{00000000-0004-0000-0300-000038030000}"/>
    <hyperlink ref="F684" r:id="rId826" xr:uid="{00000000-0004-0000-0300-000039030000}"/>
    <hyperlink ref="F685" r:id="rId827" xr:uid="{00000000-0004-0000-0300-00003A030000}"/>
    <hyperlink ref="S685" r:id="rId828" xr:uid="{00000000-0004-0000-0300-00003B030000}"/>
    <hyperlink ref="G686" r:id="rId829" xr:uid="{00000000-0004-0000-0300-00003C030000}"/>
    <hyperlink ref="S686" r:id="rId830" xr:uid="{00000000-0004-0000-0300-00003D030000}"/>
    <hyperlink ref="F687" r:id="rId831" xr:uid="{00000000-0004-0000-0300-00003E030000}"/>
    <hyperlink ref="G687" r:id="rId832" xr:uid="{00000000-0004-0000-0300-00003F030000}"/>
    <hyperlink ref="G688" r:id="rId833" xr:uid="{00000000-0004-0000-0300-000040030000}"/>
    <hyperlink ref="S688" r:id="rId834" xr:uid="{00000000-0004-0000-0300-000041030000}"/>
    <hyperlink ref="F689" r:id="rId835" xr:uid="{00000000-0004-0000-0300-000042030000}"/>
    <hyperlink ref="G689" r:id="rId836" xr:uid="{00000000-0004-0000-0300-000043030000}"/>
    <hyperlink ref="G690" r:id="rId837" xr:uid="{00000000-0004-0000-0300-000044030000}"/>
    <hyperlink ref="G691" r:id="rId838" xr:uid="{00000000-0004-0000-0300-000045030000}"/>
    <hyperlink ref="S691" r:id="rId839" xr:uid="{00000000-0004-0000-0300-000046030000}"/>
    <hyperlink ref="S692" r:id="rId840" xr:uid="{00000000-0004-0000-0300-000047030000}"/>
    <hyperlink ref="F693" r:id="rId841" xr:uid="{00000000-0004-0000-0300-000048030000}"/>
    <hyperlink ref="S693" r:id="rId842" xr:uid="{00000000-0004-0000-0300-000049030000}"/>
    <hyperlink ref="S694" r:id="rId843" xr:uid="{00000000-0004-0000-0300-00004A030000}"/>
    <hyperlink ref="F695" r:id="rId844" xr:uid="{00000000-0004-0000-0300-00004B030000}"/>
    <hyperlink ref="S695" r:id="rId845" xr:uid="{00000000-0004-0000-0300-00004C030000}"/>
    <hyperlink ref="G698" r:id="rId846" xr:uid="{00000000-0004-0000-0300-00004D030000}"/>
    <hyperlink ref="F699" r:id="rId847" xr:uid="{00000000-0004-0000-0300-00004E030000}"/>
    <hyperlink ref="G699" r:id="rId848" xr:uid="{00000000-0004-0000-0300-00004F030000}"/>
    <hyperlink ref="S699" r:id="rId849" xr:uid="{00000000-0004-0000-0300-000050030000}"/>
    <hyperlink ref="G700" r:id="rId850" xr:uid="{00000000-0004-0000-0300-000051030000}"/>
    <hyperlink ref="F702" r:id="rId851" xr:uid="{00000000-0004-0000-0300-000052030000}"/>
    <hyperlink ref="S702" r:id="rId852" xr:uid="{00000000-0004-0000-0300-000053030000}"/>
    <hyperlink ref="F703" r:id="rId853" xr:uid="{00000000-0004-0000-0300-000054030000}"/>
    <hyperlink ref="G703" r:id="rId854" xr:uid="{00000000-0004-0000-0300-000055030000}"/>
    <hyperlink ref="S703" r:id="rId855" xr:uid="{00000000-0004-0000-0300-000056030000}"/>
    <hyperlink ref="S704" r:id="rId856" xr:uid="{00000000-0004-0000-0300-000057030000}"/>
    <hyperlink ref="S705" r:id="rId857" xr:uid="{00000000-0004-0000-0300-000058030000}"/>
    <hyperlink ref="F706" r:id="rId858" xr:uid="{00000000-0004-0000-0300-000059030000}"/>
    <hyperlink ref="S706" r:id="rId859" xr:uid="{00000000-0004-0000-0300-00005A030000}"/>
    <hyperlink ref="G709" r:id="rId860" xr:uid="{00000000-0004-0000-0300-00005B030000}"/>
    <hyperlink ref="F710" r:id="rId861" xr:uid="{00000000-0004-0000-0300-00005C030000}"/>
    <hyperlink ref="G710" r:id="rId862" xr:uid="{00000000-0004-0000-0300-00005D030000}"/>
    <hyperlink ref="S710" r:id="rId863" xr:uid="{00000000-0004-0000-0300-00005E030000}"/>
    <hyperlink ref="G711" r:id="rId864" xr:uid="{00000000-0004-0000-0300-00005F030000}"/>
    <hyperlink ref="S711" r:id="rId865" xr:uid="{00000000-0004-0000-0300-000060030000}"/>
    <hyperlink ref="G713" r:id="rId866" xr:uid="{00000000-0004-0000-0300-000061030000}"/>
    <hyperlink ref="G714" r:id="rId867" xr:uid="{00000000-0004-0000-0300-000062030000}"/>
    <hyperlink ref="G715" r:id="rId868" xr:uid="{00000000-0004-0000-0300-000063030000}"/>
    <hyperlink ref="F716" r:id="rId869" xr:uid="{00000000-0004-0000-0300-000064030000}"/>
    <hyperlink ref="F717" r:id="rId870" xr:uid="{00000000-0004-0000-0300-000065030000}"/>
    <hyperlink ref="S717" r:id="rId871" xr:uid="{00000000-0004-0000-0300-000066030000}"/>
    <hyperlink ref="F718" r:id="rId872" xr:uid="{00000000-0004-0000-0300-000067030000}"/>
    <hyperlink ref="S718" r:id="rId873" xr:uid="{00000000-0004-0000-0300-000068030000}"/>
    <hyperlink ref="G719" r:id="rId874" xr:uid="{00000000-0004-0000-0300-000069030000}"/>
    <hyperlink ref="F720" r:id="rId875" xr:uid="{00000000-0004-0000-0300-00006A030000}"/>
    <hyperlink ref="F721" r:id="rId876" xr:uid="{00000000-0004-0000-0300-00006B030000}"/>
    <hyperlink ref="G721" r:id="rId877" xr:uid="{00000000-0004-0000-0300-00006C030000}"/>
    <hyperlink ref="G722" r:id="rId878" xr:uid="{00000000-0004-0000-0300-00006D030000}"/>
    <hyperlink ref="F723" r:id="rId879" xr:uid="{00000000-0004-0000-0300-00006E030000}"/>
    <hyperlink ref="G723" r:id="rId880" xr:uid="{00000000-0004-0000-0300-00006F030000}"/>
    <hyperlink ref="G724" r:id="rId881" xr:uid="{00000000-0004-0000-0300-000070030000}"/>
    <hyperlink ref="F725" r:id="rId882" xr:uid="{00000000-0004-0000-0300-000071030000}"/>
    <hyperlink ref="S725" r:id="rId883" xr:uid="{00000000-0004-0000-0300-000072030000}"/>
    <hyperlink ref="F726" r:id="rId884" xr:uid="{00000000-0004-0000-0300-000073030000}"/>
    <hyperlink ref="G726" r:id="rId885" xr:uid="{00000000-0004-0000-0300-000074030000}"/>
    <hyperlink ref="F727" r:id="rId886" xr:uid="{00000000-0004-0000-0300-000075030000}"/>
    <hyperlink ref="F728" r:id="rId887" xr:uid="{00000000-0004-0000-0300-000076030000}"/>
    <hyperlink ref="S729" r:id="rId888" xr:uid="{00000000-0004-0000-0300-000077030000}"/>
    <hyperlink ref="F730" r:id="rId889" xr:uid="{00000000-0004-0000-0300-000078030000}"/>
    <hyperlink ref="S730" r:id="rId890" xr:uid="{00000000-0004-0000-0300-000079030000}"/>
    <hyperlink ref="F731" r:id="rId891" xr:uid="{00000000-0004-0000-0300-00007A030000}"/>
    <hyperlink ref="S732" r:id="rId892" xr:uid="{00000000-0004-0000-0300-00007B030000}"/>
    <hyperlink ref="G734" r:id="rId893" xr:uid="{00000000-0004-0000-0300-00007C030000}"/>
    <hyperlink ref="S734" r:id="rId894" xr:uid="{00000000-0004-0000-0300-00007D030000}"/>
    <hyperlink ref="G735" r:id="rId895" xr:uid="{00000000-0004-0000-0300-00007E030000}"/>
    <hyperlink ref="S735" r:id="rId896" xr:uid="{00000000-0004-0000-0300-00007F030000}"/>
    <hyperlink ref="F736" r:id="rId897" xr:uid="{00000000-0004-0000-0300-000080030000}"/>
    <hyperlink ref="F737" r:id="rId898" xr:uid="{00000000-0004-0000-0300-000081030000}"/>
    <hyperlink ref="G737" r:id="rId899" xr:uid="{00000000-0004-0000-0300-000082030000}"/>
    <hyperlink ref="S737" r:id="rId900" xr:uid="{00000000-0004-0000-0300-000083030000}"/>
    <hyperlink ref="F738" r:id="rId901" xr:uid="{00000000-0004-0000-0300-000084030000}"/>
    <hyperlink ref="G738" r:id="rId902" xr:uid="{00000000-0004-0000-0300-000085030000}"/>
    <hyperlink ref="S739" r:id="rId903" xr:uid="{00000000-0004-0000-0300-000086030000}"/>
    <hyperlink ref="F740" r:id="rId904" xr:uid="{00000000-0004-0000-0300-000087030000}"/>
    <hyperlink ref="S741" r:id="rId905" xr:uid="{00000000-0004-0000-0300-000088030000}"/>
    <hyperlink ref="F742" r:id="rId906" xr:uid="{00000000-0004-0000-0300-000089030000}"/>
    <hyperlink ref="S742" r:id="rId907" xr:uid="{00000000-0004-0000-0300-00008A030000}"/>
    <hyperlink ref="F744" r:id="rId908" xr:uid="{00000000-0004-0000-0300-00008B030000}"/>
    <hyperlink ref="G744" r:id="rId909" xr:uid="{00000000-0004-0000-0300-00008C030000}"/>
    <hyperlink ref="F746" r:id="rId910" location=".XAkm9xX7H8s.twitter" xr:uid="{00000000-0004-0000-0300-00008D030000}"/>
    <hyperlink ref="S746" r:id="rId911" xr:uid="{00000000-0004-0000-0300-00008E030000}"/>
    <hyperlink ref="F747" r:id="rId912" xr:uid="{00000000-0004-0000-0300-00008F030000}"/>
    <hyperlink ref="S747" r:id="rId913" xr:uid="{00000000-0004-0000-0300-000090030000}"/>
    <hyperlink ref="F749" r:id="rId914" xr:uid="{00000000-0004-0000-0300-000091030000}"/>
    <hyperlink ref="S749" r:id="rId915" xr:uid="{00000000-0004-0000-0300-000092030000}"/>
    <hyperlink ref="F750" r:id="rId916" xr:uid="{00000000-0004-0000-0300-000093030000}"/>
    <hyperlink ref="S750" r:id="rId917" xr:uid="{00000000-0004-0000-0300-000094030000}"/>
    <hyperlink ref="F751" r:id="rId918" xr:uid="{00000000-0004-0000-0300-000095030000}"/>
    <hyperlink ref="S751" r:id="rId919" xr:uid="{00000000-0004-0000-0300-000096030000}"/>
    <hyperlink ref="F752" r:id="rId920" xr:uid="{00000000-0004-0000-0300-000097030000}"/>
    <hyperlink ref="S752" r:id="rId921" xr:uid="{00000000-0004-0000-0300-000098030000}"/>
    <hyperlink ref="F753" r:id="rId922" xr:uid="{00000000-0004-0000-0300-000099030000}"/>
    <hyperlink ref="G754" r:id="rId923" xr:uid="{00000000-0004-0000-0300-00009A030000}"/>
    <hyperlink ref="S754" r:id="rId924" xr:uid="{00000000-0004-0000-0300-00009B030000}"/>
    <hyperlink ref="F756" r:id="rId925" xr:uid="{00000000-0004-0000-0300-00009C030000}"/>
    <hyperlink ref="S756" r:id="rId926" xr:uid="{00000000-0004-0000-0300-00009D030000}"/>
    <hyperlink ref="S758" r:id="rId927" xr:uid="{00000000-0004-0000-0300-00009E030000}"/>
    <hyperlink ref="C761" r:id="rId928" xr:uid="{00000000-0004-0000-0300-00009F030000}"/>
    <hyperlink ref="F761" r:id="rId929" xr:uid="{00000000-0004-0000-0300-0000A0030000}"/>
    <hyperlink ref="G761" r:id="rId930" xr:uid="{00000000-0004-0000-0300-0000A1030000}"/>
    <hyperlink ref="S761" r:id="rId931" xr:uid="{00000000-0004-0000-0300-0000A2030000}"/>
    <hyperlink ref="F762" r:id="rId932" xr:uid="{00000000-0004-0000-0300-0000A3030000}"/>
    <hyperlink ref="F763" r:id="rId933" xr:uid="{00000000-0004-0000-0300-0000A4030000}"/>
    <hyperlink ref="S763" r:id="rId934" xr:uid="{00000000-0004-0000-0300-0000A5030000}"/>
    <hyperlink ref="S764" r:id="rId935" xr:uid="{00000000-0004-0000-0300-0000A6030000}"/>
    <hyperlink ref="S766" r:id="rId936" xr:uid="{00000000-0004-0000-0300-0000A7030000}"/>
    <hyperlink ref="F767" r:id="rId937" xr:uid="{00000000-0004-0000-0300-0000A8030000}"/>
    <hyperlink ref="S767" r:id="rId938" xr:uid="{00000000-0004-0000-0300-0000A9030000}"/>
    <hyperlink ref="F768" r:id="rId939" xr:uid="{00000000-0004-0000-0300-0000AA030000}"/>
    <hyperlink ref="S768" r:id="rId940" xr:uid="{00000000-0004-0000-0300-0000AB030000}"/>
    <hyperlink ref="S769" r:id="rId941" xr:uid="{00000000-0004-0000-0300-0000AC030000}"/>
    <hyperlink ref="F770" r:id="rId942" xr:uid="{00000000-0004-0000-0300-0000AD030000}"/>
    <hyperlink ref="G770" r:id="rId943" xr:uid="{00000000-0004-0000-0300-0000AE030000}"/>
    <hyperlink ref="S770" r:id="rId944" xr:uid="{00000000-0004-0000-0300-0000AF030000}"/>
    <hyperlink ref="F771" r:id="rId945" xr:uid="{00000000-0004-0000-0300-0000B0030000}"/>
    <hyperlink ref="G772" r:id="rId946" xr:uid="{00000000-0004-0000-0300-0000B1030000}"/>
    <hyperlink ref="S772" r:id="rId947" xr:uid="{00000000-0004-0000-0300-0000B2030000}"/>
    <hyperlink ref="F773" r:id="rId948" xr:uid="{00000000-0004-0000-0300-0000B3030000}"/>
    <hyperlink ref="F774" r:id="rId949" xr:uid="{00000000-0004-0000-0300-0000B4030000}"/>
    <hyperlink ref="S774" r:id="rId950" xr:uid="{00000000-0004-0000-0300-0000B5030000}"/>
    <hyperlink ref="F777" r:id="rId951" xr:uid="{00000000-0004-0000-0300-0000B6030000}"/>
    <hyperlink ref="G777" r:id="rId952" xr:uid="{00000000-0004-0000-0300-0000B7030000}"/>
    <hyperlink ref="S778" r:id="rId953" xr:uid="{00000000-0004-0000-0300-0000B8030000}"/>
    <hyperlink ref="F779" r:id="rId954" xr:uid="{00000000-0004-0000-0300-0000B9030000}"/>
    <hyperlink ref="G779" r:id="rId955" xr:uid="{00000000-0004-0000-0300-0000BA030000}"/>
    <hyperlink ref="F780" r:id="rId956" xr:uid="{00000000-0004-0000-0300-0000BB030000}"/>
    <hyperlink ref="F781" r:id="rId957" xr:uid="{00000000-0004-0000-0300-0000BC030000}"/>
    <hyperlink ref="G781" r:id="rId958" xr:uid="{00000000-0004-0000-0300-0000BD030000}"/>
    <hyperlink ref="S781" r:id="rId959" xr:uid="{00000000-0004-0000-0300-0000BE030000}"/>
    <hyperlink ref="F782" r:id="rId960" xr:uid="{00000000-0004-0000-0300-0000BF030000}"/>
    <hyperlink ref="S782" r:id="rId961" xr:uid="{00000000-0004-0000-0300-0000C0030000}"/>
    <hyperlink ref="S784" r:id="rId962" xr:uid="{00000000-0004-0000-0300-0000C1030000}"/>
    <hyperlink ref="F785" r:id="rId963" xr:uid="{00000000-0004-0000-0300-0000C2030000}"/>
    <hyperlink ref="S785" r:id="rId964" xr:uid="{00000000-0004-0000-0300-0000C3030000}"/>
    <hyperlink ref="F786" r:id="rId965" xr:uid="{00000000-0004-0000-0300-0000C4030000}"/>
    <hyperlink ref="C787" r:id="rId966" xr:uid="{00000000-0004-0000-0300-0000C5030000}"/>
    <hyperlink ref="F787" r:id="rId967" xr:uid="{00000000-0004-0000-0300-0000C6030000}"/>
    <hyperlink ref="G787" r:id="rId968" xr:uid="{00000000-0004-0000-0300-0000C7030000}"/>
    <hyperlink ref="S787" r:id="rId969" xr:uid="{00000000-0004-0000-0300-0000C8030000}"/>
    <hyperlink ref="F788" r:id="rId970" xr:uid="{00000000-0004-0000-0300-0000C9030000}"/>
    <hyperlink ref="S788" r:id="rId971" xr:uid="{00000000-0004-0000-0300-0000CA030000}"/>
    <hyperlink ref="G789" r:id="rId972" xr:uid="{00000000-0004-0000-0300-0000CB030000}"/>
    <hyperlink ref="G790" r:id="rId973" xr:uid="{00000000-0004-0000-0300-0000CC030000}"/>
    <hyperlink ref="S790" r:id="rId974" xr:uid="{00000000-0004-0000-0300-0000CD030000}"/>
    <hyperlink ref="F791" r:id="rId975" xr:uid="{00000000-0004-0000-0300-0000CE030000}"/>
    <hyperlink ref="F792" r:id="rId976" xr:uid="{00000000-0004-0000-0300-0000CF030000}"/>
    <hyperlink ref="G792" r:id="rId977" xr:uid="{00000000-0004-0000-0300-0000D0030000}"/>
    <hyperlink ref="F793" r:id="rId978" xr:uid="{00000000-0004-0000-0300-0000D1030000}"/>
    <hyperlink ref="G793" r:id="rId979" xr:uid="{00000000-0004-0000-0300-0000D2030000}"/>
    <hyperlink ref="G794" r:id="rId980" xr:uid="{00000000-0004-0000-0300-0000D3030000}"/>
    <hyperlink ref="F795" r:id="rId981" xr:uid="{00000000-0004-0000-0300-0000D4030000}"/>
    <hyperlink ref="S795" r:id="rId982" xr:uid="{00000000-0004-0000-0300-0000D5030000}"/>
    <hyperlink ref="F797" r:id="rId983" xr:uid="{00000000-0004-0000-0300-0000D6030000}"/>
    <hyperlink ref="G797" r:id="rId984" xr:uid="{00000000-0004-0000-0300-0000D7030000}"/>
    <hyperlink ref="F799" r:id="rId985" xr:uid="{00000000-0004-0000-0300-0000D8030000}"/>
    <hyperlink ref="G799" r:id="rId986" xr:uid="{00000000-0004-0000-0300-0000D9030000}"/>
    <hyperlink ref="S799" r:id="rId987" xr:uid="{00000000-0004-0000-0300-0000DA030000}"/>
    <hyperlink ref="F800" r:id="rId988" xr:uid="{00000000-0004-0000-0300-0000DB030000}"/>
    <hyperlink ref="G801" r:id="rId989" xr:uid="{00000000-0004-0000-0300-0000DC030000}"/>
    <hyperlink ref="G802" r:id="rId990" xr:uid="{00000000-0004-0000-0300-0000DD030000}"/>
    <hyperlink ref="S802" r:id="rId991" xr:uid="{00000000-0004-0000-0300-0000DE030000}"/>
    <hyperlink ref="S803" r:id="rId992" xr:uid="{00000000-0004-0000-0300-0000DF030000}"/>
    <hyperlink ref="S804" r:id="rId993" xr:uid="{00000000-0004-0000-0300-0000E0030000}"/>
    <hyperlink ref="F805" r:id="rId994" xr:uid="{00000000-0004-0000-0300-0000E1030000}"/>
    <hyperlink ref="S805" r:id="rId995" xr:uid="{00000000-0004-0000-0300-0000E2030000}"/>
    <hyperlink ref="F806" r:id="rId996" xr:uid="{00000000-0004-0000-0300-0000E3030000}"/>
    <hyperlink ref="G806" r:id="rId997" xr:uid="{00000000-0004-0000-0300-0000E4030000}"/>
    <hyperlink ref="S806" r:id="rId998" xr:uid="{00000000-0004-0000-0300-0000E5030000}"/>
    <hyperlink ref="G808" r:id="rId999" xr:uid="{00000000-0004-0000-0300-0000E6030000}"/>
    <hyperlink ref="F809" r:id="rId1000" xr:uid="{00000000-0004-0000-0300-0000E7030000}"/>
    <hyperlink ref="G809" r:id="rId1001" xr:uid="{00000000-0004-0000-0300-0000E8030000}"/>
    <hyperlink ref="S809" r:id="rId1002" xr:uid="{00000000-0004-0000-0300-0000E9030000}"/>
    <hyperlink ref="G811" r:id="rId1003" xr:uid="{00000000-0004-0000-0300-0000EA030000}"/>
    <hyperlink ref="S811" r:id="rId1004" xr:uid="{00000000-0004-0000-0300-0000EB030000}"/>
    <hyperlink ref="F813" r:id="rId1005" xr:uid="{00000000-0004-0000-0300-0000EC030000}"/>
    <hyperlink ref="G813" r:id="rId1006" xr:uid="{00000000-0004-0000-0300-0000ED030000}"/>
    <hyperlink ref="S813" r:id="rId1007" xr:uid="{00000000-0004-0000-0300-0000EE030000}"/>
    <hyperlink ref="F814" r:id="rId1008" xr:uid="{00000000-0004-0000-0300-0000EF030000}"/>
    <hyperlink ref="G814" r:id="rId1009" xr:uid="{00000000-0004-0000-0300-0000F0030000}"/>
    <hyperlink ref="G815" r:id="rId1010" xr:uid="{00000000-0004-0000-0300-0000F1030000}"/>
    <hyperlink ref="G818" r:id="rId1011" xr:uid="{00000000-0004-0000-0300-0000F2030000}"/>
    <hyperlink ref="F819" r:id="rId1012" xr:uid="{00000000-0004-0000-0300-0000F3030000}"/>
    <hyperlink ref="S819" r:id="rId1013" xr:uid="{00000000-0004-0000-0300-0000F4030000}"/>
    <hyperlink ref="G820" r:id="rId1014" xr:uid="{00000000-0004-0000-0300-0000F5030000}"/>
    <hyperlink ref="F821" r:id="rId1015" location=".XAkJ0578QKM.twitter" xr:uid="{00000000-0004-0000-0300-0000F6030000}"/>
    <hyperlink ref="F823" r:id="rId1016" xr:uid="{00000000-0004-0000-0300-0000F7030000}"/>
    <hyperlink ref="G823" r:id="rId1017" xr:uid="{00000000-0004-0000-0300-0000F8030000}"/>
    <hyperlink ref="F824" r:id="rId1018" xr:uid="{00000000-0004-0000-0300-0000F9030000}"/>
    <hyperlink ref="S825" r:id="rId1019" xr:uid="{00000000-0004-0000-0300-0000FA030000}"/>
    <hyperlink ref="F826" r:id="rId1020" xr:uid="{00000000-0004-0000-0300-0000FB030000}"/>
    <hyperlink ref="G826" r:id="rId1021" xr:uid="{00000000-0004-0000-0300-0000FC030000}"/>
    <hyperlink ref="S826" r:id="rId1022" xr:uid="{00000000-0004-0000-0300-0000FD030000}"/>
    <hyperlink ref="F827" r:id="rId1023" xr:uid="{00000000-0004-0000-0300-0000FE030000}"/>
    <hyperlink ref="S827" r:id="rId1024" xr:uid="{00000000-0004-0000-0300-0000FF030000}"/>
    <hyperlink ref="F828" r:id="rId1025" xr:uid="{00000000-0004-0000-0300-000000040000}"/>
    <hyperlink ref="S828" r:id="rId1026" xr:uid="{00000000-0004-0000-0300-000001040000}"/>
    <hyperlink ref="F829" r:id="rId1027" xr:uid="{00000000-0004-0000-0300-000002040000}"/>
    <hyperlink ref="F830" r:id="rId1028" xr:uid="{00000000-0004-0000-0300-000003040000}"/>
    <hyperlink ref="G831" r:id="rId1029" xr:uid="{00000000-0004-0000-0300-000004040000}"/>
    <hyperlink ref="F832" r:id="rId1030" xr:uid="{00000000-0004-0000-0300-000005040000}"/>
    <hyperlink ref="G832" r:id="rId1031" xr:uid="{00000000-0004-0000-0300-000006040000}"/>
    <hyperlink ref="G833" r:id="rId1032" xr:uid="{00000000-0004-0000-0300-000007040000}"/>
    <hyperlink ref="S833" r:id="rId1033" xr:uid="{00000000-0004-0000-0300-000008040000}"/>
    <hyperlink ref="F834" r:id="rId1034" xr:uid="{00000000-0004-0000-0300-000009040000}"/>
    <hyperlink ref="S834" r:id="rId1035" xr:uid="{00000000-0004-0000-0300-00000A040000}"/>
    <hyperlink ref="G835" r:id="rId1036" xr:uid="{00000000-0004-0000-0300-00000B040000}"/>
    <hyperlink ref="F836" r:id="rId1037" xr:uid="{00000000-0004-0000-0300-00000C040000}"/>
    <hyperlink ref="G838" r:id="rId1038" xr:uid="{00000000-0004-0000-0300-00000D040000}"/>
    <hyperlink ref="F840" r:id="rId1039" xr:uid="{00000000-0004-0000-0300-00000E040000}"/>
    <hyperlink ref="S840" r:id="rId1040" xr:uid="{00000000-0004-0000-0300-00000F040000}"/>
    <hyperlink ref="F841" r:id="rId1041" xr:uid="{00000000-0004-0000-0300-000010040000}"/>
    <hyperlink ref="G841" r:id="rId1042" xr:uid="{00000000-0004-0000-0300-000011040000}"/>
    <hyperlink ref="S841" r:id="rId1043" xr:uid="{00000000-0004-0000-0300-000012040000}"/>
    <hyperlink ref="G842" r:id="rId1044" xr:uid="{00000000-0004-0000-0300-000013040000}"/>
    <hyperlink ref="S842" r:id="rId1045" xr:uid="{00000000-0004-0000-0300-000014040000}"/>
    <hyperlink ref="F843" r:id="rId1046" xr:uid="{00000000-0004-0000-0300-000015040000}"/>
    <hyperlink ref="S843" r:id="rId1047" xr:uid="{00000000-0004-0000-0300-000016040000}"/>
    <hyperlink ref="G844" r:id="rId1048" xr:uid="{00000000-0004-0000-0300-000017040000}"/>
    <hyperlink ref="S844" r:id="rId1049" xr:uid="{00000000-0004-0000-0300-000018040000}"/>
    <hyperlink ref="F845" r:id="rId1050" xr:uid="{00000000-0004-0000-0300-000019040000}"/>
    <hyperlink ref="S846" r:id="rId1051" xr:uid="{00000000-0004-0000-0300-00001A040000}"/>
    <hyperlink ref="S847" r:id="rId1052" xr:uid="{00000000-0004-0000-0300-00001B040000}"/>
    <hyperlink ref="G848" r:id="rId1053" xr:uid="{00000000-0004-0000-0300-00001C040000}"/>
    <hyperlink ref="S848" r:id="rId1054" xr:uid="{00000000-0004-0000-0300-00001D040000}"/>
    <hyperlink ref="F849" r:id="rId1055" xr:uid="{00000000-0004-0000-0300-00001E040000}"/>
    <hyperlink ref="S849" r:id="rId1056" xr:uid="{00000000-0004-0000-0300-00001F040000}"/>
    <hyperlink ref="F850" r:id="rId1057" xr:uid="{00000000-0004-0000-0300-000020040000}"/>
    <hyperlink ref="F851" r:id="rId1058" xr:uid="{00000000-0004-0000-0300-000021040000}"/>
    <hyperlink ref="F852" r:id="rId1059" xr:uid="{00000000-0004-0000-0300-000022040000}"/>
    <hyperlink ref="S853" r:id="rId1060" xr:uid="{00000000-0004-0000-0300-000023040000}"/>
    <hyperlink ref="F854" r:id="rId1061" xr:uid="{00000000-0004-0000-0300-000024040000}"/>
    <hyperlink ref="S854" r:id="rId1062" xr:uid="{00000000-0004-0000-0300-000025040000}"/>
    <hyperlink ref="G856" r:id="rId1063" xr:uid="{00000000-0004-0000-0300-000026040000}"/>
    <hyperlink ref="S856" r:id="rId1064" xr:uid="{00000000-0004-0000-0300-000027040000}"/>
    <hyperlink ref="G857" r:id="rId1065" xr:uid="{00000000-0004-0000-0300-000028040000}"/>
    <hyperlink ref="S857" r:id="rId1066" xr:uid="{00000000-0004-0000-0300-000029040000}"/>
    <hyperlink ref="G858" r:id="rId1067" xr:uid="{00000000-0004-0000-0300-00002A040000}"/>
    <hyperlink ref="S860" r:id="rId1068" xr:uid="{00000000-0004-0000-0300-00002B040000}"/>
    <hyperlink ref="S861" r:id="rId1069" xr:uid="{00000000-0004-0000-0300-00002C040000}"/>
    <hyperlink ref="F862" r:id="rId1070" xr:uid="{00000000-0004-0000-0300-00002D040000}"/>
    <hyperlink ref="G862" r:id="rId1071" xr:uid="{00000000-0004-0000-0300-00002E040000}"/>
    <hyperlink ref="F863" r:id="rId1072" xr:uid="{00000000-0004-0000-0300-00002F040000}"/>
    <hyperlink ref="G863" r:id="rId1073" xr:uid="{00000000-0004-0000-0300-000030040000}"/>
    <hyperlink ref="S863" r:id="rId1074" xr:uid="{00000000-0004-0000-0300-000031040000}"/>
    <hyperlink ref="F864" r:id="rId1075" xr:uid="{00000000-0004-0000-0300-000032040000}"/>
    <hyperlink ref="G865" r:id="rId1076" xr:uid="{00000000-0004-0000-0300-000033040000}"/>
    <hyperlink ref="G866" r:id="rId1077" xr:uid="{00000000-0004-0000-0300-000034040000}"/>
    <hyperlink ref="G867" r:id="rId1078" xr:uid="{00000000-0004-0000-0300-000035040000}"/>
    <hyperlink ref="S867" r:id="rId1079" xr:uid="{00000000-0004-0000-0300-000036040000}"/>
    <hyperlink ref="G869" r:id="rId1080" xr:uid="{00000000-0004-0000-0300-000037040000}"/>
    <hyperlink ref="S870" r:id="rId1081" xr:uid="{00000000-0004-0000-0300-000038040000}"/>
    <hyperlink ref="F871" r:id="rId1082" xr:uid="{00000000-0004-0000-0300-000039040000}"/>
    <hyperlink ref="G871" r:id="rId1083" xr:uid="{00000000-0004-0000-0300-00003A040000}"/>
    <hyperlink ref="S873" r:id="rId1084" xr:uid="{00000000-0004-0000-0300-00003B040000}"/>
    <hyperlink ref="F874" r:id="rId1085" xr:uid="{00000000-0004-0000-0300-00003C040000}"/>
    <hyperlink ref="G874" r:id="rId1086" xr:uid="{00000000-0004-0000-0300-00003D040000}"/>
    <hyperlink ref="G876" r:id="rId1087" xr:uid="{00000000-0004-0000-0300-00003E040000}"/>
    <hyperlink ref="S876" r:id="rId1088" xr:uid="{00000000-0004-0000-0300-00003F040000}"/>
    <hyperlink ref="F878" r:id="rId1089" xr:uid="{00000000-0004-0000-0300-000040040000}"/>
    <hyperlink ref="G878" r:id="rId1090" xr:uid="{00000000-0004-0000-0300-000041040000}"/>
    <hyperlink ref="G879" r:id="rId1091" xr:uid="{00000000-0004-0000-0300-000042040000}"/>
    <hyperlink ref="S879" r:id="rId1092" xr:uid="{00000000-0004-0000-0300-000043040000}"/>
    <hyperlink ref="S880" r:id="rId1093" xr:uid="{00000000-0004-0000-0300-000044040000}"/>
    <hyperlink ref="G881" r:id="rId1094" xr:uid="{00000000-0004-0000-0300-000045040000}"/>
    <hyperlink ref="G884" r:id="rId1095" xr:uid="{00000000-0004-0000-0300-000046040000}"/>
    <hyperlink ref="S885" r:id="rId1096" xr:uid="{00000000-0004-0000-0300-000047040000}"/>
    <hyperlink ref="F886" r:id="rId1097" xr:uid="{00000000-0004-0000-0300-000048040000}"/>
    <hyperlink ref="G886" r:id="rId1098" xr:uid="{00000000-0004-0000-0300-000049040000}"/>
    <hyperlink ref="S886" r:id="rId1099" xr:uid="{00000000-0004-0000-0300-00004A040000}"/>
    <hyperlink ref="S888" r:id="rId1100" xr:uid="{00000000-0004-0000-0300-00004B040000}"/>
    <hyperlink ref="S889" r:id="rId1101" xr:uid="{00000000-0004-0000-0300-00004C040000}"/>
    <hyperlink ref="G890" r:id="rId1102" xr:uid="{00000000-0004-0000-0300-00004D040000}"/>
    <hyperlink ref="G893" r:id="rId1103" xr:uid="{00000000-0004-0000-0300-00004E040000}"/>
    <hyperlink ref="S893" r:id="rId1104" xr:uid="{00000000-0004-0000-0300-00004F040000}"/>
    <hyperlink ref="F894" r:id="rId1105" xr:uid="{00000000-0004-0000-0300-000050040000}"/>
    <hyperlink ref="G894" r:id="rId1106" xr:uid="{00000000-0004-0000-0300-000051040000}"/>
    <hyperlink ref="S894" r:id="rId1107" xr:uid="{00000000-0004-0000-0300-000052040000}"/>
    <hyperlink ref="G898" r:id="rId1108" xr:uid="{00000000-0004-0000-0300-000053040000}"/>
    <hyperlink ref="S898" r:id="rId1109" xr:uid="{00000000-0004-0000-0300-000054040000}"/>
    <hyperlink ref="S900" r:id="rId1110" xr:uid="{00000000-0004-0000-0300-000055040000}"/>
    <hyperlink ref="G901" r:id="rId1111" xr:uid="{00000000-0004-0000-0300-000056040000}"/>
    <hyperlink ref="S901" r:id="rId1112" xr:uid="{00000000-0004-0000-0300-000057040000}"/>
    <hyperlink ref="G902" r:id="rId1113" xr:uid="{00000000-0004-0000-0300-000058040000}"/>
    <hyperlink ref="F903" r:id="rId1114" xr:uid="{00000000-0004-0000-0300-000059040000}"/>
    <hyperlink ref="S903" r:id="rId1115" xr:uid="{00000000-0004-0000-0300-00005A040000}"/>
    <hyperlink ref="G904" r:id="rId1116" xr:uid="{00000000-0004-0000-0300-00005B040000}"/>
    <hyperlink ref="S904" r:id="rId1117" xr:uid="{00000000-0004-0000-0300-00005C040000}"/>
    <hyperlink ref="G905" r:id="rId1118" xr:uid="{00000000-0004-0000-0300-00005D040000}"/>
    <hyperlink ref="G906" r:id="rId1119" xr:uid="{00000000-0004-0000-0300-00005E040000}"/>
    <hyperlink ref="S906" r:id="rId1120" xr:uid="{00000000-0004-0000-0300-00005F040000}"/>
    <hyperlink ref="G908" r:id="rId1121" xr:uid="{00000000-0004-0000-0300-000060040000}"/>
    <hyperlink ref="G909" r:id="rId1122" xr:uid="{00000000-0004-0000-0300-000061040000}"/>
    <hyperlink ref="S909" r:id="rId1123" xr:uid="{00000000-0004-0000-0300-000062040000}"/>
    <hyperlink ref="F910" r:id="rId1124" xr:uid="{00000000-0004-0000-0300-000063040000}"/>
    <hyperlink ref="S911" r:id="rId1125" xr:uid="{00000000-0004-0000-0300-000064040000}"/>
    <hyperlink ref="S912" r:id="rId1126" xr:uid="{00000000-0004-0000-0300-000065040000}"/>
    <hyperlink ref="F913" r:id="rId1127" xr:uid="{00000000-0004-0000-0300-000066040000}"/>
    <hyperlink ref="S913" r:id="rId1128" xr:uid="{00000000-0004-0000-0300-000067040000}"/>
    <hyperlink ref="G914" r:id="rId1129" xr:uid="{00000000-0004-0000-0300-000068040000}"/>
    <hyperlink ref="S914" r:id="rId1130" xr:uid="{00000000-0004-0000-0300-000069040000}"/>
    <hyperlink ref="G916" r:id="rId1131" xr:uid="{00000000-0004-0000-0300-00006A040000}"/>
    <hyperlink ref="S916" r:id="rId1132" xr:uid="{00000000-0004-0000-0300-00006B040000}"/>
    <hyperlink ref="F917" r:id="rId1133" xr:uid="{00000000-0004-0000-0300-00006C040000}"/>
    <hyperlink ref="G917" r:id="rId1134" xr:uid="{00000000-0004-0000-0300-00006D040000}"/>
    <hyperlink ref="S917" r:id="rId1135" xr:uid="{00000000-0004-0000-0300-00006E040000}"/>
    <hyperlink ref="F918" r:id="rId1136" xr:uid="{00000000-0004-0000-0300-00006F040000}"/>
    <hyperlink ref="F919" r:id="rId1137" xr:uid="{00000000-0004-0000-0300-000070040000}"/>
    <hyperlink ref="S920" r:id="rId1138" xr:uid="{00000000-0004-0000-0300-000071040000}"/>
    <hyperlink ref="F921" r:id="rId1139" xr:uid="{00000000-0004-0000-0300-000072040000}"/>
    <hyperlink ref="S921" r:id="rId1140" xr:uid="{00000000-0004-0000-0300-000073040000}"/>
    <hyperlink ref="F923" r:id="rId1141" xr:uid="{00000000-0004-0000-0300-000074040000}"/>
    <hyperlink ref="S923" r:id="rId1142" xr:uid="{00000000-0004-0000-0300-000075040000}"/>
    <hyperlink ref="F925" r:id="rId1143" xr:uid="{00000000-0004-0000-0300-000076040000}"/>
    <hyperlink ref="G925" r:id="rId1144" xr:uid="{00000000-0004-0000-0300-000077040000}"/>
    <hyperlink ref="F926" r:id="rId1145" xr:uid="{00000000-0004-0000-0300-000078040000}"/>
    <hyperlink ref="S926" r:id="rId1146" xr:uid="{00000000-0004-0000-0300-000079040000}"/>
    <hyperlink ref="F928" r:id="rId1147" xr:uid="{00000000-0004-0000-0300-00007A040000}"/>
    <hyperlink ref="G929" r:id="rId1148" xr:uid="{00000000-0004-0000-0300-00007B040000}"/>
    <hyperlink ref="F930" r:id="rId1149" xr:uid="{00000000-0004-0000-0300-00007C040000}"/>
    <hyperlink ref="G934" r:id="rId1150" xr:uid="{00000000-0004-0000-0300-00007D040000}"/>
    <hyperlink ref="F936" r:id="rId1151" xr:uid="{00000000-0004-0000-0300-00007E040000}"/>
    <hyperlink ref="G936" r:id="rId1152" xr:uid="{00000000-0004-0000-0300-00007F040000}"/>
    <hyperlink ref="G937" r:id="rId1153" xr:uid="{00000000-0004-0000-0300-000080040000}"/>
    <hyperlink ref="S937" r:id="rId1154" xr:uid="{00000000-0004-0000-0300-000081040000}"/>
    <hyperlink ref="F938" r:id="rId1155" xr:uid="{00000000-0004-0000-0300-000082040000}"/>
    <hyperlink ref="S938" r:id="rId1156" xr:uid="{00000000-0004-0000-0300-000083040000}"/>
    <hyperlink ref="F939" r:id="rId1157" xr:uid="{00000000-0004-0000-0300-000084040000}"/>
    <hyperlink ref="S939" r:id="rId1158" xr:uid="{00000000-0004-0000-0300-000085040000}"/>
    <hyperlink ref="F940" r:id="rId1159" xr:uid="{00000000-0004-0000-0300-000086040000}"/>
    <hyperlink ref="G940" r:id="rId1160" xr:uid="{00000000-0004-0000-0300-000087040000}"/>
    <hyperlink ref="F941" r:id="rId1161" xr:uid="{00000000-0004-0000-0300-000088040000}"/>
    <hyperlink ref="F943" r:id="rId1162" xr:uid="{00000000-0004-0000-0300-000089040000}"/>
    <hyperlink ref="G943" r:id="rId1163" xr:uid="{00000000-0004-0000-0300-00008A040000}"/>
    <hyperlink ref="F944" r:id="rId1164" xr:uid="{00000000-0004-0000-0300-00008B040000}"/>
    <hyperlink ref="G944" r:id="rId1165" xr:uid="{00000000-0004-0000-0300-00008C040000}"/>
    <hyperlink ref="S944" r:id="rId1166" xr:uid="{00000000-0004-0000-0300-00008D040000}"/>
    <hyperlink ref="G945" r:id="rId1167" xr:uid="{00000000-0004-0000-0300-00008E040000}"/>
    <hyperlink ref="S945" r:id="rId1168" xr:uid="{00000000-0004-0000-0300-00008F040000}"/>
    <hyperlink ref="F948" r:id="rId1169" xr:uid="{00000000-0004-0000-0300-000090040000}"/>
    <hyperlink ref="G948" r:id="rId1170" xr:uid="{00000000-0004-0000-0300-000091040000}"/>
    <hyperlink ref="S948" r:id="rId1171" xr:uid="{00000000-0004-0000-0300-000092040000}"/>
    <hyperlink ref="F949" r:id="rId1172" xr:uid="{00000000-0004-0000-0300-000093040000}"/>
    <hyperlink ref="G949" r:id="rId1173" xr:uid="{00000000-0004-0000-0300-000094040000}"/>
    <hyperlink ref="S949" r:id="rId1174" xr:uid="{00000000-0004-0000-0300-000095040000}"/>
    <hyperlink ref="F950" r:id="rId1175" xr:uid="{00000000-0004-0000-0300-000096040000}"/>
    <hyperlink ref="S952" r:id="rId1176" xr:uid="{00000000-0004-0000-0300-000097040000}"/>
    <hyperlink ref="F953" r:id="rId1177" xr:uid="{00000000-0004-0000-0300-000098040000}"/>
    <hyperlink ref="S954" r:id="rId1178" xr:uid="{00000000-0004-0000-0300-000099040000}"/>
    <hyperlink ref="F955" r:id="rId1179" xr:uid="{00000000-0004-0000-0300-00009A040000}"/>
    <hyperlink ref="S955" r:id="rId1180" xr:uid="{00000000-0004-0000-0300-00009B040000}"/>
    <hyperlink ref="F956" r:id="rId1181" xr:uid="{00000000-0004-0000-0300-00009C040000}"/>
    <hyperlink ref="G956" r:id="rId1182" xr:uid="{00000000-0004-0000-0300-00009D040000}"/>
    <hyperlink ref="F957" r:id="rId1183" xr:uid="{00000000-0004-0000-0300-00009E040000}"/>
    <hyperlink ref="G958" r:id="rId1184" xr:uid="{00000000-0004-0000-0300-00009F040000}"/>
    <hyperlink ref="G960" r:id="rId1185" xr:uid="{00000000-0004-0000-0300-0000A0040000}"/>
    <hyperlink ref="F961" r:id="rId1186" xr:uid="{00000000-0004-0000-0300-0000A1040000}"/>
    <hyperlink ref="F962" r:id="rId1187" xr:uid="{00000000-0004-0000-0300-0000A2040000}"/>
    <hyperlink ref="F964" r:id="rId1188" xr:uid="{00000000-0004-0000-0300-0000A3040000}"/>
    <hyperlink ref="S964" r:id="rId1189" xr:uid="{00000000-0004-0000-0300-0000A4040000}"/>
    <hyperlink ref="G966" r:id="rId1190" xr:uid="{00000000-0004-0000-0300-0000A5040000}"/>
    <hyperlink ref="F968" r:id="rId1191" xr:uid="{00000000-0004-0000-0300-0000A6040000}"/>
    <hyperlink ref="F969" r:id="rId1192" xr:uid="{00000000-0004-0000-0300-0000A7040000}"/>
    <hyperlink ref="G969" r:id="rId1193" xr:uid="{00000000-0004-0000-0300-0000A8040000}"/>
    <hyperlink ref="S969" r:id="rId1194" xr:uid="{00000000-0004-0000-0300-0000A9040000}"/>
    <hyperlink ref="F971" r:id="rId1195" xr:uid="{00000000-0004-0000-0300-0000AA040000}"/>
    <hyperlink ref="F972" r:id="rId1196" xr:uid="{00000000-0004-0000-0300-0000AB040000}"/>
    <hyperlink ref="F973" r:id="rId1197" xr:uid="{00000000-0004-0000-0300-0000AC040000}"/>
    <hyperlink ref="G974" r:id="rId1198" xr:uid="{00000000-0004-0000-0300-0000AD040000}"/>
    <hyperlink ref="F976" r:id="rId1199" xr:uid="{00000000-0004-0000-0300-0000AE040000}"/>
    <hyperlink ref="S977" r:id="rId1200" xr:uid="{00000000-0004-0000-0300-0000AF040000}"/>
    <hyperlink ref="F978" r:id="rId1201" xr:uid="{00000000-0004-0000-0300-0000B0040000}"/>
    <hyperlink ref="S978" r:id="rId1202" xr:uid="{00000000-0004-0000-0300-0000B1040000}"/>
    <hyperlink ref="F979" r:id="rId1203" xr:uid="{00000000-0004-0000-0300-0000B2040000}"/>
    <hyperlink ref="S979" r:id="rId1204" xr:uid="{00000000-0004-0000-0300-0000B3040000}"/>
    <hyperlink ref="S980" r:id="rId1205" xr:uid="{00000000-0004-0000-0300-0000B4040000}"/>
    <hyperlink ref="S982" r:id="rId1206" xr:uid="{00000000-0004-0000-0300-0000B5040000}"/>
    <hyperlink ref="F983" r:id="rId1207" xr:uid="{00000000-0004-0000-0300-0000B6040000}"/>
    <hyperlink ref="F984" r:id="rId1208" xr:uid="{00000000-0004-0000-0300-0000B7040000}"/>
    <hyperlink ref="G984" r:id="rId1209" xr:uid="{00000000-0004-0000-0300-0000B8040000}"/>
    <hyperlink ref="S984" r:id="rId1210" xr:uid="{00000000-0004-0000-0300-0000B9040000}"/>
    <hyperlink ref="F985" r:id="rId1211" xr:uid="{00000000-0004-0000-0300-0000BA040000}"/>
    <hyperlink ref="G985" r:id="rId1212" xr:uid="{00000000-0004-0000-0300-0000BB040000}"/>
    <hyperlink ref="S987" r:id="rId1213" xr:uid="{00000000-0004-0000-0300-0000BC040000}"/>
    <hyperlink ref="F988" r:id="rId1214" xr:uid="{00000000-0004-0000-0300-0000BD040000}"/>
    <hyperlink ref="S988" r:id="rId1215" xr:uid="{00000000-0004-0000-0300-0000BE040000}"/>
    <hyperlink ref="F990" r:id="rId1216" xr:uid="{00000000-0004-0000-0300-0000BF040000}"/>
    <hyperlink ref="S990" r:id="rId1217" xr:uid="{00000000-0004-0000-0300-0000C0040000}"/>
    <hyperlink ref="F992" r:id="rId1218" xr:uid="{00000000-0004-0000-0300-0000C1040000}"/>
    <hyperlink ref="S992" r:id="rId1219" xr:uid="{00000000-0004-0000-0300-0000C2040000}"/>
    <hyperlink ref="F993" r:id="rId1220" xr:uid="{00000000-0004-0000-0300-0000C3040000}"/>
    <hyperlink ref="F994" r:id="rId1221" xr:uid="{00000000-0004-0000-0300-0000C4040000}"/>
    <hyperlink ref="G994" r:id="rId1222" xr:uid="{00000000-0004-0000-0300-0000C5040000}"/>
    <hyperlink ref="S994" r:id="rId1223" xr:uid="{00000000-0004-0000-0300-0000C6040000}"/>
    <hyperlink ref="F995" r:id="rId1224" location="xtor=AD-15&amp;xts=467263" xr:uid="{00000000-0004-0000-0300-0000C7040000}"/>
    <hyperlink ref="G995" r:id="rId1225" xr:uid="{00000000-0004-0000-0300-0000C8040000}"/>
    <hyperlink ref="S995" r:id="rId1226" xr:uid="{00000000-0004-0000-0300-0000C9040000}"/>
    <hyperlink ref="S996" r:id="rId1227" xr:uid="{00000000-0004-0000-0300-0000CA040000}"/>
    <hyperlink ref="F998" r:id="rId1228" xr:uid="{00000000-0004-0000-0300-0000CB040000}"/>
    <hyperlink ref="G1000" r:id="rId1229" xr:uid="{00000000-0004-0000-0300-0000CC040000}"/>
    <hyperlink ref="S1000" r:id="rId1230" xr:uid="{00000000-0004-0000-0300-0000CD040000}"/>
    <hyperlink ref="F1002" r:id="rId1231" xr:uid="{00000000-0004-0000-0300-0000CE040000}"/>
    <hyperlink ref="S1002" r:id="rId1232" xr:uid="{00000000-0004-0000-0300-0000CF040000}"/>
    <hyperlink ref="F1003" r:id="rId1233" xr:uid="{00000000-0004-0000-0300-0000D0040000}"/>
    <hyperlink ref="F1004" r:id="rId1234" xr:uid="{00000000-0004-0000-0300-0000D1040000}"/>
    <hyperlink ref="S1004" r:id="rId1235" xr:uid="{00000000-0004-0000-0300-0000D2040000}"/>
    <hyperlink ref="F1005" r:id="rId1236" xr:uid="{00000000-0004-0000-0300-0000D3040000}"/>
    <hyperlink ref="F1006" r:id="rId1237" xr:uid="{00000000-0004-0000-0300-0000D4040000}"/>
    <hyperlink ref="G1006" r:id="rId1238" xr:uid="{00000000-0004-0000-0300-0000D5040000}"/>
    <hyperlink ref="F1007" r:id="rId1239" xr:uid="{00000000-0004-0000-0300-0000D6040000}"/>
    <hyperlink ref="F1010" r:id="rId1240" xr:uid="{00000000-0004-0000-0300-0000D7040000}"/>
    <hyperlink ref="S1010" r:id="rId1241" xr:uid="{00000000-0004-0000-0300-0000D8040000}"/>
    <hyperlink ref="S1011" r:id="rId1242" xr:uid="{00000000-0004-0000-0300-0000D9040000}"/>
    <hyperlink ref="S1012" r:id="rId1243" xr:uid="{00000000-0004-0000-0300-0000DA040000}"/>
    <hyperlink ref="F1015" r:id="rId1244" xr:uid="{00000000-0004-0000-0300-0000DB040000}"/>
    <hyperlink ref="G1015" r:id="rId1245" xr:uid="{00000000-0004-0000-0300-0000DC040000}"/>
    <hyperlink ref="S1015" r:id="rId1246" xr:uid="{00000000-0004-0000-0300-0000DD040000}"/>
    <hyperlink ref="S1017" r:id="rId1247" xr:uid="{00000000-0004-0000-0300-0000DE040000}"/>
    <hyperlink ref="G1018" r:id="rId1248" xr:uid="{00000000-0004-0000-0300-0000DF040000}"/>
    <hyperlink ref="S1019" r:id="rId1249" xr:uid="{00000000-0004-0000-0300-0000E0040000}"/>
    <hyperlink ref="F1020" r:id="rId1250" xr:uid="{00000000-0004-0000-0300-0000E1040000}"/>
    <hyperlink ref="F1021" r:id="rId1251" xr:uid="{00000000-0004-0000-0300-0000E2040000}"/>
    <hyperlink ref="F1022" r:id="rId1252" xr:uid="{00000000-0004-0000-0300-0000E3040000}"/>
    <hyperlink ref="G1022" r:id="rId1253" xr:uid="{00000000-0004-0000-0300-0000E4040000}"/>
    <hyperlink ref="S1023" r:id="rId1254" xr:uid="{00000000-0004-0000-0300-0000E5040000}"/>
    <hyperlink ref="F1024" r:id="rId1255" xr:uid="{00000000-0004-0000-0300-0000E6040000}"/>
    <hyperlink ref="G1024" r:id="rId1256" xr:uid="{00000000-0004-0000-0300-0000E7040000}"/>
    <hyperlink ref="S1024" r:id="rId1257" xr:uid="{00000000-0004-0000-0300-0000E8040000}"/>
    <hyperlink ref="F1025" r:id="rId1258" xr:uid="{00000000-0004-0000-0300-0000E9040000}"/>
    <hyperlink ref="G1025" r:id="rId1259" xr:uid="{00000000-0004-0000-0300-0000EA040000}"/>
    <hyperlink ref="S1025" r:id="rId1260" xr:uid="{00000000-0004-0000-0300-0000EB040000}"/>
    <hyperlink ref="F1026" r:id="rId1261" xr:uid="{00000000-0004-0000-0300-0000EC040000}"/>
    <hyperlink ref="S1027" r:id="rId1262" xr:uid="{00000000-0004-0000-0300-0000ED040000}"/>
    <hyperlink ref="S1028" r:id="rId1263" xr:uid="{00000000-0004-0000-0300-0000EE040000}"/>
    <hyperlink ref="F1029" r:id="rId1264" xr:uid="{00000000-0004-0000-0300-0000EF040000}"/>
    <hyperlink ref="S1029" r:id="rId1265" xr:uid="{00000000-0004-0000-0300-0000F0040000}"/>
    <hyperlink ref="F1031" r:id="rId1266" location=".XAizxxnbWlg.twitter" xr:uid="{00000000-0004-0000-0300-0000F1040000}"/>
    <hyperlink ref="S1034" r:id="rId1267" xr:uid="{00000000-0004-0000-0300-0000F2040000}"/>
    <hyperlink ref="S1036" r:id="rId1268" xr:uid="{00000000-0004-0000-0300-0000F3040000}"/>
    <hyperlink ref="S1037" r:id="rId1269" xr:uid="{00000000-0004-0000-0300-0000F4040000}"/>
    <hyperlink ref="G1038" r:id="rId1270" xr:uid="{00000000-0004-0000-0300-0000F5040000}"/>
    <hyperlink ref="F1039" r:id="rId1271" xr:uid="{00000000-0004-0000-0300-0000F6040000}"/>
    <hyperlink ref="S1039" r:id="rId1272" xr:uid="{00000000-0004-0000-0300-0000F7040000}"/>
    <hyperlink ref="F1040" r:id="rId1273" xr:uid="{00000000-0004-0000-0300-0000F8040000}"/>
    <hyperlink ref="S1041" r:id="rId1274" xr:uid="{00000000-0004-0000-0300-0000F9040000}"/>
    <hyperlink ref="S1042" r:id="rId1275" xr:uid="{00000000-0004-0000-0300-0000FA040000}"/>
    <hyperlink ref="F1043" r:id="rId1276" xr:uid="{00000000-0004-0000-0300-0000FB040000}"/>
    <hyperlink ref="F1044" r:id="rId1277" location="Echobox=1544015499" xr:uid="{00000000-0004-0000-0300-0000FC040000}"/>
    <hyperlink ref="F1045" r:id="rId1278" xr:uid="{00000000-0004-0000-0300-0000FD040000}"/>
    <hyperlink ref="G1045" r:id="rId1279" xr:uid="{00000000-0004-0000-0300-0000FE040000}"/>
    <hyperlink ref="F1046" r:id="rId1280" xr:uid="{00000000-0004-0000-0300-0000FF040000}"/>
    <hyperlink ref="S1047" r:id="rId1281" xr:uid="{00000000-0004-0000-0300-000000050000}"/>
    <hyperlink ref="S1048" r:id="rId1282" xr:uid="{00000000-0004-0000-0300-000001050000}"/>
    <hyperlink ref="F1049" r:id="rId1283" xr:uid="{00000000-0004-0000-0300-000002050000}"/>
    <hyperlink ref="S1050" r:id="rId1284" xr:uid="{00000000-0004-0000-0300-000003050000}"/>
    <hyperlink ref="F1052" r:id="rId1285" xr:uid="{00000000-0004-0000-0300-000004050000}"/>
    <hyperlink ref="S1053" r:id="rId1286" xr:uid="{00000000-0004-0000-0300-000005050000}"/>
    <hyperlink ref="S1054" r:id="rId1287" xr:uid="{00000000-0004-0000-0300-000006050000}"/>
    <hyperlink ref="F1056" r:id="rId1288" xr:uid="{00000000-0004-0000-0300-000007050000}"/>
    <hyperlink ref="S1056" r:id="rId1289" xr:uid="{00000000-0004-0000-0300-000008050000}"/>
    <hyperlink ref="S1058" r:id="rId1290" xr:uid="{00000000-0004-0000-0300-000009050000}"/>
    <hyperlink ref="G1059" r:id="rId1291" xr:uid="{00000000-0004-0000-0300-00000A050000}"/>
    <hyperlink ref="S1060" r:id="rId1292" xr:uid="{00000000-0004-0000-0300-00000B050000}"/>
    <hyperlink ref="S1061" r:id="rId1293" xr:uid="{00000000-0004-0000-0300-00000C050000}"/>
    <hyperlink ref="F1062" r:id="rId1294" xr:uid="{00000000-0004-0000-0300-00000D050000}"/>
    <hyperlink ref="G1062" r:id="rId1295" xr:uid="{00000000-0004-0000-0300-00000E050000}"/>
    <hyperlink ref="F1064" r:id="rId1296" xr:uid="{00000000-0004-0000-0300-00000F050000}"/>
    <hyperlink ref="F1065" r:id="rId1297" location=".XAhumRnoQBc.twitter" xr:uid="{00000000-0004-0000-0300-000010050000}"/>
    <hyperlink ref="G1068" r:id="rId1298" xr:uid="{00000000-0004-0000-0300-000011050000}"/>
    <hyperlink ref="F1070" r:id="rId1299" xr:uid="{00000000-0004-0000-0300-000012050000}"/>
    <hyperlink ref="S1070" r:id="rId1300" xr:uid="{00000000-0004-0000-0300-000013050000}"/>
    <hyperlink ref="F1071" r:id="rId1301" location=".XAhpqKfzqGU.twitter" xr:uid="{00000000-0004-0000-0300-000014050000}"/>
    <hyperlink ref="F1072" r:id="rId1302" xr:uid="{00000000-0004-0000-0300-000015050000}"/>
    <hyperlink ref="F1073" r:id="rId1303" xr:uid="{00000000-0004-0000-0300-000016050000}"/>
    <hyperlink ref="G1073" r:id="rId1304" xr:uid="{00000000-0004-0000-0300-000017050000}"/>
    <hyperlink ref="S1075" r:id="rId1305" xr:uid="{00000000-0004-0000-0300-000018050000}"/>
    <hyperlink ref="S1076" r:id="rId1306" xr:uid="{00000000-0004-0000-0300-000019050000}"/>
    <hyperlink ref="F1077" r:id="rId1307" xr:uid="{00000000-0004-0000-0300-00001A050000}"/>
    <hyperlink ref="F1078" r:id="rId1308" xr:uid="{00000000-0004-0000-0300-00001B050000}"/>
    <hyperlink ref="S1079" r:id="rId1309" xr:uid="{00000000-0004-0000-0300-00001C050000}"/>
    <hyperlink ref="F1080" r:id="rId1310" xr:uid="{00000000-0004-0000-0300-00001D050000}"/>
    <hyperlink ref="G1080" r:id="rId1311" xr:uid="{00000000-0004-0000-0300-00001E050000}"/>
    <hyperlink ref="F1082" r:id="rId1312" xr:uid="{00000000-0004-0000-0300-00001F050000}"/>
    <hyperlink ref="G1082" r:id="rId1313" xr:uid="{00000000-0004-0000-0300-000020050000}"/>
    <hyperlink ref="F1083" r:id="rId1314" xr:uid="{00000000-0004-0000-0300-000021050000}"/>
    <hyperlink ref="S1084" r:id="rId1315" xr:uid="{00000000-0004-0000-0300-000022050000}"/>
    <hyperlink ref="F1085" r:id="rId1316" xr:uid="{00000000-0004-0000-0300-000023050000}"/>
    <hyperlink ref="G1086" r:id="rId1317" xr:uid="{00000000-0004-0000-0300-000024050000}"/>
    <hyperlink ref="F1088" r:id="rId1318" xr:uid="{00000000-0004-0000-0300-000025050000}"/>
    <hyperlink ref="S1088" r:id="rId1319" xr:uid="{00000000-0004-0000-0300-000026050000}"/>
    <hyperlink ref="F1089" r:id="rId1320" xr:uid="{00000000-0004-0000-0300-000027050000}"/>
    <hyperlink ref="G1089" r:id="rId1321" xr:uid="{00000000-0004-0000-0300-000028050000}"/>
    <hyperlink ref="S1089" r:id="rId1322" xr:uid="{00000000-0004-0000-0300-000029050000}"/>
    <hyperlink ref="F1090" r:id="rId1323" xr:uid="{00000000-0004-0000-0300-00002A050000}"/>
    <hyperlink ref="G1090" r:id="rId1324" xr:uid="{00000000-0004-0000-0300-00002B050000}"/>
    <hyperlink ref="S1090" r:id="rId1325" xr:uid="{00000000-0004-0000-0300-00002C050000}"/>
    <hyperlink ref="F1091" r:id="rId1326" xr:uid="{00000000-0004-0000-0300-00002D050000}"/>
    <hyperlink ref="G1091" r:id="rId1327" xr:uid="{00000000-0004-0000-0300-00002E050000}"/>
    <hyperlink ref="S1091" r:id="rId1328" xr:uid="{00000000-0004-0000-0300-00002F050000}"/>
    <hyperlink ref="F1092" r:id="rId1329" xr:uid="{00000000-0004-0000-0300-000030050000}"/>
    <hyperlink ref="G1092" r:id="rId1330" xr:uid="{00000000-0004-0000-0300-000031050000}"/>
    <hyperlink ref="S1092" r:id="rId1331" xr:uid="{00000000-0004-0000-0300-000032050000}"/>
    <hyperlink ref="F1093" r:id="rId1332" xr:uid="{00000000-0004-0000-0300-000033050000}"/>
    <hyperlink ref="F1095" r:id="rId1333" xr:uid="{00000000-0004-0000-0300-000034050000}"/>
    <hyperlink ref="G1098" r:id="rId1334" xr:uid="{00000000-0004-0000-0300-000035050000}"/>
    <hyperlink ref="F1099" r:id="rId1335" xr:uid="{00000000-0004-0000-0300-000036050000}"/>
    <hyperlink ref="G1099" r:id="rId1336" xr:uid="{00000000-0004-0000-0300-000037050000}"/>
    <hyperlink ref="F1100" r:id="rId1337" xr:uid="{00000000-0004-0000-0300-000038050000}"/>
    <hyperlink ref="G1100" r:id="rId1338" xr:uid="{00000000-0004-0000-0300-000039050000}"/>
    <hyperlink ref="S1100" r:id="rId1339" xr:uid="{00000000-0004-0000-0300-00003A050000}"/>
    <hyperlink ref="S1101" r:id="rId1340" xr:uid="{00000000-0004-0000-0300-00003B050000}"/>
    <hyperlink ref="S1102" r:id="rId1341" xr:uid="{00000000-0004-0000-0300-00003C050000}"/>
    <hyperlink ref="S1103" r:id="rId1342" xr:uid="{00000000-0004-0000-0300-00003D050000}"/>
    <hyperlink ref="G1105" r:id="rId1343" xr:uid="{00000000-0004-0000-0300-00003E050000}"/>
    <hyperlink ref="F1106" r:id="rId1344" xr:uid="{00000000-0004-0000-0300-00003F050000}"/>
    <hyperlink ref="S1106" r:id="rId1345" xr:uid="{00000000-0004-0000-0300-000040050000}"/>
    <hyperlink ref="F1107" r:id="rId1346" xr:uid="{00000000-0004-0000-0300-000041050000}"/>
    <hyperlink ref="S1107" r:id="rId1347" xr:uid="{00000000-0004-0000-0300-000042050000}"/>
    <hyperlink ref="S1108" r:id="rId1348" xr:uid="{00000000-0004-0000-0300-000043050000}"/>
    <hyperlink ref="S1109" r:id="rId1349" xr:uid="{00000000-0004-0000-0300-000044050000}"/>
    <hyperlink ref="S1110" r:id="rId1350" xr:uid="{00000000-0004-0000-0300-000045050000}"/>
    <hyperlink ref="G1112" r:id="rId1351" xr:uid="{00000000-0004-0000-0300-000046050000}"/>
    <hyperlink ref="S1112" r:id="rId1352" xr:uid="{00000000-0004-0000-0300-000047050000}"/>
    <hyperlink ref="F1114" r:id="rId1353" xr:uid="{00000000-0004-0000-0300-000048050000}"/>
    <hyperlink ref="G1114" r:id="rId1354" xr:uid="{00000000-0004-0000-0300-000049050000}"/>
    <hyperlink ref="F1115" r:id="rId1355" xr:uid="{00000000-0004-0000-0300-00004A050000}"/>
    <hyperlink ref="F1116" r:id="rId1356" xr:uid="{00000000-0004-0000-0300-00004B050000}"/>
    <hyperlink ref="S1116" r:id="rId1357" xr:uid="{00000000-0004-0000-0300-00004C050000}"/>
    <hyperlink ref="F1117" r:id="rId1358" xr:uid="{00000000-0004-0000-0300-00004D050000}"/>
    <hyperlink ref="G1117" r:id="rId1359" xr:uid="{00000000-0004-0000-0300-00004E050000}"/>
    <hyperlink ref="G1119" r:id="rId1360" xr:uid="{00000000-0004-0000-0300-00004F050000}"/>
    <hyperlink ref="G1121" r:id="rId1361" xr:uid="{00000000-0004-0000-0300-000050050000}"/>
    <hyperlink ref="S1121" r:id="rId1362" xr:uid="{00000000-0004-0000-0300-000051050000}"/>
    <hyperlink ref="F1122" r:id="rId1363" xr:uid="{00000000-0004-0000-0300-000052050000}"/>
    <hyperlink ref="F1123" r:id="rId1364" xr:uid="{00000000-0004-0000-0300-000053050000}"/>
    <hyperlink ref="F1124" r:id="rId1365" xr:uid="{00000000-0004-0000-0300-000054050000}"/>
    <hyperlink ref="G1124" r:id="rId1366" xr:uid="{00000000-0004-0000-0300-000055050000}"/>
    <hyperlink ref="S1124" r:id="rId1367" xr:uid="{00000000-0004-0000-0300-000056050000}"/>
    <hyperlink ref="F1125" r:id="rId1368" xr:uid="{00000000-0004-0000-0300-000057050000}"/>
    <hyperlink ref="G1125" r:id="rId1369" xr:uid="{00000000-0004-0000-0300-000058050000}"/>
    <hyperlink ref="F1126" r:id="rId1370" xr:uid="{00000000-0004-0000-0300-000059050000}"/>
    <hyperlink ref="F1127" r:id="rId1371" xr:uid="{00000000-0004-0000-0300-00005A050000}"/>
    <hyperlink ref="S1127" r:id="rId1372" xr:uid="{00000000-0004-0000-0300-00005B050000}"/>
    <hyperlink ref="G1128" r:id="rId1373" xr:uid="{00000000-0004-0000-0300-00005C050000}"/>
    <hyperlink ref="F1129" r:id="rId1374" xr:uid="{00000000-0004-0000-0300-00005D050000}"/>
    <hyperlink ref="F1131" r:id="rId1375" xr:uid="{00000000-0004-0000-0300-00005E050000}"/>
    <hyperlink ref="F1132" r:id="rId1376" xr:uid="{00000000-0004-0000-0300-00005F050000}"/>
    <hyperlink ref="F1133" r:id="rId1377" xr:uid="{00000000-0004-0000-0300-000060050000}"/>
    <hyperlink ref="G1133" r:id="rId1378" xr:uid="{00000000-0004-0000-0300-000061050000}"/>
    <hyperlink ref="S1136" r:id="rId1379" xr:uid="{00000000-0004-0000-0300-000062050000}"/>
    <hyperlink ref="S1137" r:id="rId1380" xr:uid="{00000000-0004-0000-0300-000063050000}"/>
    <hyperlink ref="F1138" r:id="rId1381" xr:uid="{00000000-0004-0000-0300-000064050000}"/>
    <hyperlink ref="S1138" r:id="rId1382" xr:uid="{00000000-0004-0000-0300-000065050000}"/>
    <hyperlink ref="S1140" r:id="rId1383" xr:uid="{00000000-0004-0000-0300-000066050000}"/>
    <hyperlink ref="F1141" r:id="rId1384" xr:uid="{00000000-0004-0000-0300-000067050000}"/>
    <hyperlink ref="S1141" r:id="rId1385" xr:uid="{00000000-0004-0000-0300-000068050000}"/>
    <hyperlink ref="F1143" r:id="rId1386" xr:uid="{00000000-0004-0000-0300-000069050000}"/>
    <hyperlink ref="G1143" r:id="rId1387" xr:uid="{00000000-0004-0000-0300-00006A050000}"/>
    <hyperlink ref="S1143" r:id="rId1388" xr:uid="{00000000-0004-0000-0300-00006B050000}"/>
    <hyperlink ref="F1144" r:id="rId1389" xr:uid="{00000000-0004-0000-0300-00006C050000}"/>
    <hyperlink ref="S1144" r:id="rId1390" xr:uid="{00000000-0004-0000-0300-00006D050000}"/>
    <hyperlink ref="F1145" r:id="rId1391" xr:uid="{00000000-0004-0000-0300-00006E050000}"/>
    <hyperlink ref="F1146" r:id="rId1392" xr:uid="{00000000-0004-0000-0300-00006F050000}"/>
    <hyperlink ref="S1146" r:id="rId1393" xr:uid="{00000000-0004-0000-0300-000070050000}"/>
    <hyperlink ref="S1147" r:id="rId1394" xr:uid="{00000000-0004-0000-0300-000071050000}"/>
    <hyperlink ref="S1148" r:id="rId1395" xr:uid="{00000000-0004-0000-0300-000072050000}"/>
    <hyperlink ref="S1149" r:id="rId1396" xr:uid="{00000000-0004-0000-0300-000073050000}"/>
    <hyperlink ref="F1150" r:id="rId1397" xr:uid="{00000000-0004-0000-0300-000074050000}"/>
    <hyperlink ref="G1153" r:id="rId1398" xr:uid="{00000000-0004-0000-0300-000075050000}"/>
    <hyperlink ref="S1153" r:id="rId1399" xr:uid="{00000000-0004-0000-0300-000076050000}"/>
    <hyperlink ref="F1155" r:id="rId1400" xr:uid="{00000000-0004-0000-0300-000077050000}"/>
    <hyperlink ref="S1155" r:id="rId1401" xr:uid="{00000000-0004-0000-0300-000078050000}"/>
    <hyperlink ref="G1156" r:id="rId1402" xr:uid="{00000000-0004-0000-0300-000079050000}"/>
    <hyperlink ref="S1156" r:id="rId1403" xr:uid="{00000000-0004-0000-0300-00007A050000}"/>
    <hyperlink ref="F1157" r:id="rId1404" xr:uid="{00000000-0004-0000-0300-00007B050000}"/>
    <hyperlink ref="G1157" r:id="rId1405" xr:uid="{00000000-0004-0000-0300-00007C050000}"/>
    <hyperlink ref="S1157" r:id="rId1406" xr:uid="{00000000-0004-0000-0300-00007D050000}"/>
    <hyperlink ref="F1158" r:id="rId1407" xr:uid="{00000000-0004-0000-0300-00007E050000}"/>
    <hyperlink ref="F1160" r:id="rId1408" xr:uid="{00000000-0004-0000-0300-00007F050000}"/>
    <hyperlink ref="G1160" r:id="rId1409" xr:uid="{00000000-0004-0000-0300-000080050000}"/>
    <hyperlink ref="S1160" r:id="rId1410" xr:uid="{00000000-0004-0000-0300-000081050000}"/>
    <hyperlink ref="G1161" r:id="rId1411" xr:uid="{00000000-0004-0000-0300-000082050000}"/>
    <hyperlink ref="F1162" r:id="rId1412" xr:uid="{00000000-0004-0000-0300-000083050000}"/>
    <hyperlink ref="G1162" r:id="rId1413" xr:uid="{00000000-0004-0000-0300-000084050000}"/>
    <hyperlink ref="F1163" r:id="rId1414" xr:uid="{00000000-0004-0000-0300-000085050000}"/>
    <hyperlink ref="G1163" r:id="rId1415" xr:uid="{00000000-0004-0000-0300-000086050000}"/>
    <hyperlink ref="F1164" r:id="rId1416" xr:uid="{00000000-0004-0000-0300-000087050000}"/>
    <hyperlink ref="G1164" r:id="rId1417" xr:uid="{00000000-0004-0000-0300-000088050000}"/>
    <hyperlink ref="S1164" r:id="rId1418" xr:uid="{00000000-0004-0000-0300-000089050000}"/>
    <hyperlink ref="F1165" r:id="rId1419" xr:uid="{00000000-0004-0000-0300-00008A050000}"/>
    <hyperlink ref="F1166" r:id="rId1420" xr:uid="{00000000-0004-0000-0300-00008B050000}"/>
    <hyperlink ref="G1166" r:id="rId1421" xr:uid="{00000000-0004-0000-0300-00008C050000}"/>
    <hyperlink ref="S1166" r:id="rId1422" xr:uid="{00000000-0004-0000-0300-00008D050000}"/>
    <hyperlink ref="F1167" r:id="rId1423" xr:uid="{00000000-0004-0000-0300-00008E050000}"/>
    <hyperlink ref="G1167" r:id="rId1424" xr:uid="{00000000-0004-0000-0300-00008F050000}"/>
    <hyperlink ref="S1167" r:id="rId1425" xr:uid="{00000000-0004-0000-0300-000090050000}"/>
    <hyperlink ref="F1168" r:id="rId1426" location=".XAhCk_5fxTc.twitter" xr:uid="{00000000-0004-0000-0300-000091050000}"/>
    <hyperlink ref="F1170" r:id="rId1427" xr:uid="{00000000-0004-0000-0300-000092050000}"/>
    <hyperlink ref="F1172" r:id="rId1428" xr:uid="{00000000-0004-0000-0300-000093050000}"/>
    <hyperlink ref="G1172" r:id="rId1429" xr:uid="{00000000-0004-0000-0300-000094050000}"/>
    <hyperlink ref="F1174" r:id="rId1430" xr:uid="{00000000-0004-0000-0300-000095050000}"/>
    <hyperlink ref="S1174" r:id="rId1431" xr:uid="{00000000-0004-0000-0300-000096050000}"/>
    <hyperlink ref="F1175" r:id="rId1432" xr:uid="{00000000-0004-0000-0300-000097050000}"/>
    <hyperlink ref="G1175" r:id="rId1433" xr:uid="{00000000-0004-0000-0300-000098050000}"/>
    <hyperlink ref="S1175" r:id="rId1434" xr:uid="{00000000-0004-0000-0300-000099050000}"/>
    <hyperlink ref="F1176" r:id="rId1435" xr:uid="{00000000-0004-0000-0300-00009A050000}"/>
    <hyperlink ref="S1176" r:id="rId1436" xr:uid="{00000000-0004-0000-0300-00009B050000}"/>
    <hyperlink ref="G1177" r:id="rId1437" xr:uid="{00000000-0004-0000-0300-00009C050000}"/>
    <hyperlink ref="S1177" r:id="rId1438" xr:uid="{00000000-0004-0000-0300-00009D050000}"/>
    <hyperlink ref="G1179" r:id="rId1439" xr:uid="{00000000-0004-0000-0300-00009E050000}"/>
    <hyperlink ref="G1180" r:id="rId1440" xr:uid="{00000000-0004-0000-0300-00009F050000}"/>
    <hyperlink ref="S1180" r:id="rId1441" xr:uid="{00000000-0004-0000-0300-0000A0050000}"/>
    <hyperlink ref="F1181" r:id="rId1442" xr:uid="{00000000-0004-0000-0300-0000A1050000}"/>
    <hyperlink ref="G1181" r:id="rId1443" xr:uid="{00000000-0004-0000-0300-0000A2050000}"/>
    <hyperlink ref="G1182" r:id="rId1444" xr:uid="{00000000-0004-0000-0300-0000A3050000}"/>
    <hyperlink ref="S1182" r:id="rId1445" xr:uid="{00000000-0004-0000-0300-0000A4050000}"/>
    <hyperlink ref="S1183" r:id="rId1446" xr:uid="{00000000-0004-0000-0300-0000A5050000}"/>
    <hyperlink ref="F1184" r:id="rId1447" xr:uid="{00000000-0004-0000-0300-0000A6050000}"/>
    <hyperlink ref="G1184" r:id="rId1448" xr:uid="{00000000-0004-0000-0300-0000A7050000}"/>
    <hyperlink ref="S1184" r:id="rId1449" xr:uid="{00000000-0004-0000-0300-0000A8050000}"/>
    <hyperlink ref="F1185" r:id="rId1450" xr:uid="{00000000-0004-0000-0300-0000A9050000}"/>
    <hyperlink ref="G1187" r:id="rId1451" xr:uid="{00000000-0004-0000-0300-0000AA050000}"/>
    <hyperlink ref="S1187" r:id="rId1452" xr:uid="{00000000-0004-0000-0300-0000AB050000}"/>
    <hyperlink ref="G1188" r:id="rId1453" xr:uid="{00000000-0004-0000-0300-0000AC050000}"/>
    <hyperlink ref="S1188" r:id="rId1454" xr:uid="{00000000-0004-0000-0300-0000AD050000}"/>
    <hyperlink ref="G1189" r:id="rId1455" xr:uid="{00000000-0004-0000-0300-0000AE050000}"/>
    <hyperlink ref="S1189" r:id="rId1456" xr:uid="{00000000-0004-0000-0300-0000AF050000}"/>
    <hyperlink ref="F1190" r:id="rId1457" xr:uid="{00000000-0004-0000-0300-0000B0050000}"/>
    <hyperlink ref="F1191" r:id="rId1458" xr:uid="{00000000-0004-0000-0300-0000B1050000}"/>
    <hyperlink ref="F1192" r:id="rId1459" xr:uid="{00000000-0004-0000-0300-0000B2050000}"/>
    <hyperlink ref="G1192" r:id="rId1460" xr:uid="{00000000-0004-0000-0300-0000B3050000}"/>
    <hyperlink ref="F1193" r:id="rId1461" xr:uid="{00000000-0004-0000-0300-0000B4050000}"/>
    <hyperlink ref="S1194" r:id="rId1462" xr:uid="{00000000-0004-0000-0300-0000B5050000}"/>
    <hyperlink ref="F1197" r:id="rId1463" xr:uid="{00000000-0004-0000-0300-0000B6050000}"/>
    <hyperlink ref="G1197" r:id="rId1464" xr:uid="{00000000-0004-0000-0300-0000B7050000}"/>
    <hyperlink ref="S1197" r:id="rId1465" xr:uid="{00000000-0004-0000-0300-0000B8050000}"/>
    <hyperlink ref="F1198" r:id="rId1466" xr:uid="{00000000-0004-0000-0300-0000B9050000}"/>
    <hyperlink ref="S1198" r:id="rId1467" xr:uid="{00000000-0004-0000-0300-0000BA050000}"/>
    <hyperlink ref="S1200" r:id="rId1468" xr:uid="{00000000-0004-0000-0300-0000BB050000}"/>
    <hyperlink ref="S1203" r:id="rId1469" xr:uid="{00000000-0004-0000-0300-0000BC050000}"/>
    <hyperlink ref="F1204" r:id="rId1470" xr:uid="{00000000-0004-0000-0300-0000BD050000}"/>
    <hyperlink ref="S1204" r:id="rId1471" xr:uid="{00000000-0004-0000-0300-0000BE050000}"/>
    <hyperlink ref="S1205" r:id="rId1472" xr:uid="{00000000-0004-0000-0300-0000BF050000}"/>
    <hyperlink ref="F1206" r:id="rId1473" xr:uid="{00000000-0004-0000-0300-0000C0050000}"/>
    <hyperlink ref="S1206" r:id="rId1474" xr:uid="{00000000-0004-0000-0300-0000C1050000}"/>
    <hyperlink ref="F1207" r:id="rId1475" xr:uid="{00000000-0004-0000-0300-0000C2050000}"/>
    <hyperlink ref="S1207" r:id="rId1476" xr:uid="{00000000-0004-0000-0300-0000C3050000}"/>
    <hyperlink ref="F1208" r:id="rId1477" xr:uid="{00000000-0004-0000-0300-0000C4050000}"/>
    <hyperlink ref="G1208" r:id="rId1478" xr:uid="{00000000-0004-0000-0300-0000C5050000}"/>
    <hyperlink ref="G1209" r:id="rId1479" xr:uid="{00000000-0004-0000-0300-0000C6050000}"/>
    <hyperlink ref="S1209" r:id="rId1480" xr:uid="{00000000-0004-0000-0300-0000C7050000}"/>
    <hyperlink ref="F1210" r:id="rId1481" xr:uid="{00000000-0004-0000-0300-0000C8050000}"/>
    <hyperlink ref="S1210" r:id="rId1482" xr:uid="{00000000-0004-0000-0300-0000C9050000}"/>
    <hyperlink ref="G1211" r:id="rId1483" xr:uid="{00000000-0004-0000-0300-0000CA050000}"/>
    <hyperlink ref="S1211" r:id="rId1484" xr:uid="{00000000-0004-0000-0300-0000CB050000}"/>
    <hyperlink ref="G1212" r:id="rId1485" xr:uid="{00000000-0004-0000-0300-0000CC050000}"/>
    <hyperlink ref="F1213" r:id="rId1486" xr:uid="{00000000-0004-0000-0300-0000CD050000}"/>
    <hyperlink ref="G1213" r:id="rId1487" xr:uid="{00000000-0004-0000-0300-0000CE050000}"/>
    <hyperlink ref="G1214" r:id="rId1488" xr:uid="{00000000-0004-0000-0300-0000CF050000}"/>
    <hyperlink ref="F1215" r:id="rId1489" xr:uid="{00000000-0004-0000-0300-0000D0050000}"/>
    <hyperlink ref="S1215" r:id="rId1490" xr:uid="{00000000-0004-0000-0300-0000D1050000}"/>
    <hyperlink ref="F1217" r:id="rId1491" xr:uid="{00000000-0004-0000-0300-0000D2050000}"/>
    <hyperlink ref="G1217" r:id="rId1492" xr:uid="{00000000-0004-0000-0300-0000D3050000}"/>
    <hyperlink ref="S1217" r:id="rId1493" xr:uid="{00000000-0004-0000-0300-0000D4050000}"/>
    <hyperlink ref="F1218" r:id="rId1494" xr:uid="{00000000-0004-0000-0300-0000D5050000}"/>
    <hyperlink ref="G1218" r:id="rId1495" xr:uid="{00000000-0004-0000-0300-0000D6050000}"/>
    <hyperlink ref="S1218" r:id="rId1496" xr:uid="{00000000-0004-0000-0300-0000D7050000}"/>
    <hyperlink ref="G1219" r:id="rId1497" xr:uid="{00000000-0004-0000-0300-0000D8050000}"/>
    <hyperlink ref="S1219" r:id="rId1498" xr:uid="{00000000-0004-0000-0300-0000D9050000}"/>
    <hyperlink ref="F1220" r:id="rId1499" xr:uid="{00000000-0004-0000-0300-0000DA050000}"/>
    <hyperlink ref="S1220" r:id="rId1500" xr:uid="{00000000-0004-0000-0300-0000DB050000}"/>
    <hyperlink ref="G1221" r:id="rId1501" xr:uid="{00000000-0004-0000-0300-0000DC050000}"/>
    <hyperlink ref="F1222" r:id="rId1502" xr:uid="{00000000-0004-0000-0300-0000DD050000}"/>
    <hyperlink ref="G1223" r:id="rId1503" xr:uid="{00000000-0004-0000-0300-0000DE050000}"/>
    <hyperlink ref="F1224" r:id="rId1504" xr:uid="{00000000-0004-0000-0300-0000DF050000}"/>
    <hyperlink ref="G1224" r:id="rId1505" xr:uid="{00000000-0004-0000-0300-0000E0050000}"/>
    <hyperlink ref="F1226" r:id="rId1506" xr:uid="{00000000-0004-0000-0300-0000E1050000}"/>
    <hyperlink ref="F1227" r:id="rId1507" xr:uid="{00000000-0004-0000-0300-0000E2050000}"/>
    <hyperlink ref="S1228" r:id="rId1508" xr:uid="{00000000-0004-0000-0300-0000E3050000}"/>
    <hyperlink ref="F1229" r:id="rId1509" xr:uid="{00000000-0004-0000-0300-0000E4050000}"/>
    <hyperlink ref="G1229" r:id="rId1510" xr:uid="{00000000-0004-0000-0300-0000E5050000}"/>
    <hyperlink ref="S1229" r:id="rId1511" xr:uid="{00000000-0004-0000-0300-0000E6050000}"/>
    <hyperlink ref="F1230" r:id="rId1512" xr:uid="{00000000-0004-0000-0300-0000E7050000}"/>
    <hyperlink ref="G1230" r:id="rId1513" xr:uid="{00000000-0004-0000-0300-0000E8050000}"/>
    <hyperlink ref="G1232" r:id="rId1514" xr:uid="{00000000-0004-0000-0300-0000E9050000}"/>
    <hyperlink ref="S1232" r:id="rId1515" xr:uid="{00000000-0004-0000-0300-0000EA050000}"/>
    <hyperlink ref="G1233" r:id="rId1516" xr:uid="{00000000-0004-0000-0300-0000EB050000}"/>
    <hyperlink ref="S1233" r:id="rId1517" xr:uid="{00000000-0004-0000-0300-0000EC050000}"/>
    <hyperlink ref="F1234" r:id="rId1518" xr:uid="{00000000-0004-0000-0300-0000ED050000}"/>
    <hyperlink ref="S1234" r:id="rId1519" xr:uid="{00000000-0004-0000-0300-0000EE050000}"/>
    <hyperlink ref="F1235" r:id="rId1520" xr:uid="{00000000-0004-0000-0300-0000EF050000}"/>
    <hyperlink ref="S1235" r:id="rId1521" xr:uid="{00000000-0004-0000-0300-0000F0050000}"/>
    <hyperlink ref="S1236" r:id="rId1522" xr:uid="{00000000-0004-0000-0300-0000F1050000}"/>
    <hyperlink ref="F1237" r:id="rId1523" xr:uid="{00000000-0004-0000-0300-0000F2050000}"/>
    <hyperlink ref="S1237" r:id="rId1524" xr:uid="{00000000-0004-0000-0300-0000F3050000}"/>
    <hyperlink ref="F1239" r:id="rId1525" xr:uid="{00000000-0004-0000-0300-0000F4050000}"/>
    <hyperlink ref="G1239" r:id="rId1526" xr:uid="{00000000-0004-0000-0300-0000F5050000}"/>
    <hyperlink ref="S1241" r:id="rId1527" xr:uid="{00000000-0004-0000-0300-0000F6050000}"/>
    <hyperlink ref="S1243" r:id="rId1528" xr:uid="{00000000-0004-0000-0300-0000F7050000}"/>
    <hyperlink ref="F1244" r:id="rId1529" xr:uid="{00000000-0004-0000-0300-0000F8050000}"/>
    <hyperlink ref="S1244" r:id="rId1530" xr:uid="{00000000-0004-0000-0300-0000F9050000}"/>
    <hyperlink ref="S1245" r:id="rId1531" xr:uid="{00000000-0004-0000-0300-0000FA050000}"/>
    <hyperlink ref="S1246" r:id="rId1532" xr:uid="{00000000-0004-0000-0300-0000FB050000}"/>
    <hyperlink ref="S1248" r:id="rId1533" xr:uid="{00000000-0004-0000-0300-0000FC050000}"/>
    <hyperlink ref="S1249" r:id="rId1534" xr:uid="{00000000-0004-0000-0300-0000FD050000}"/>
    <hyperlink ref="F1250" r:id="rId1535" xr:uid="{00000000-0004-0000-0300-0000FE050000}"/>
    <hyperlink ref="G1250" r:id="rId1536" xr:uid="{00000000-0004-0000-0300-0000FF050000}"/>
    <hyperlink ref="S1252" r:id="rId1537" xr:uid="{00000000-0004-0000-0300-000000060000}"/>
    <hyperlink ref="G1253" r:id="rId1538" xr:uid="{00000000-0004-0000-0300-000001060000}"/>
    <hyperlink ref="S1253" r:id="rId1539" xr:uid="{00000000-0004-0000-0300-000002060000}"/>
    <hyperlink ref="G1254" r:id="rId1540" xr:uid="{00000000-0004-0000-0300-000003060000}"/>
    <hyperlink ref="F1255" r:id="rId1541" xr:uid="{00000000-0004-0000-0300-000004060000}"/>
    <hyperlink ref="F1256" r:id="rId1542" xr:uid="{00000000-0004-0000-0300-000005060000}"/>
    <hyperlink ref="F1257" r:id="rId1543" xr:uid="{00000000-0004-0000-0300-000006060000}"/>
    <hyperlink ref="S1258" r:id="rId1544" xr:uid="{00000000-0004-0000-0300-000007060000}"/>
    <hyperlink ref="F1259" r:id="rId1545" xr:uid="{00000000-0004-0000-0300-000008060000}"/>
    <hyperlink ref="F1260" r:id="rId1546" xr:uid="{00000000-0004-0000-0300-000009060000}"/>
    <hyperlink ref="G1262" r:id="rId1547" xr:uid="{00000000-0004-0000-0300-00000A060000}"/>
    <hyperlink ref="S1262" r:id="rId1548" xr:uid="{00000000-0004-0000-0300-00000B060000}"/>
    <hyperlink ref="F1263" r:id="rId1549" xr:uid="{00000000-0004-0000-0300-00000C060000}"/>
    <hyperlink ref="F1264" r:id="rId1550" location=".XAgvfG5FIwk.twitter" xr:uid="{00000000-0004-0000-0300-00000D060000}"/>
    <hyperlink ref="F1265" r:id="rId1551" xr:uid="{00000000-0004-0000-0300-00000E060000}"/>
    <hyperlink ref="F1266" r:id="rId1552" location=".XAgvqBSPLp8.twitter" xr:uid="{00000000-0004-0000-0300-00000F060000}"/>
    <hyperlink ref="S1266" r:id="rId1553" xr:uid="{00000000-0004-0000-0300-000010060000}"/>
    <hyperlink ref="S1268" r:id="rId1554" xr:uid="{00000000-0004-0000-0300-000011060000}"/>
    <hyperlink ref="S1269" r:id="rId1555" xr:uid="{00000000-0004-0000-0300-000012060000}"/>
    <hyperlink ref="F1270" r:id="rId1556" xr:uid="{00000000-0004-0000-0300-000013060000}"/>
    <hyperlink ref="S1270" r:id="rId1557" xr:uid="{00000000-0004-0000-0300-000014060000}"/>
    <hyperlink ref="G1271" r:id="rId1558" xr:uid="{00000000-0004-0000-0300-000015060000}"/>
    <hyperlink ref="G1272" r:id="rId1559" xr:uid="{00000000-0004-0000-0300-000016060000}"/>
    <hyperlink ref="G1273" r:id="rId1560" xr:uid="{00000000-0004-0000-0300-000017060000}"/>
    <hyperlink ref="S1274" r:id="rId1561" xr:uid="{00000000-0004-0000-0300-000018060000}"/>
    <hyperlink ref="F1276" r:id="rId1562" xr:uid="{00000000-0004-0000-0300-000019060000}"/>
    <hyperlink ref="G1276" r:id="rId1563" xr:uid="{00000000-0004-0000-0300-00001A060000}"/>
    <hyperlink ref="S1276" r:id="rId1564" xr:uid="{00000000-0004-0000-0300-00001B060000}"/>
    <hyperlink ref="G1278" r:id="rId1565" xr:uid="{00000000-0004-0000-0300-00001C060000}"/>
    <hyperlink ref="F1279" r:id="rId1566" xr:uid="{00000000-0004-0000-0300-00001D060000}"/>
    <hyperlink ref="G1279" r:id="rId1567" xr:uid="{00000000-0004-0000-0300-00001E060000}"/>
    <hyperlink ref="S1279" r:id="rId1568" xr:uid="{00000000-0004-0000-0300-00001F060000}"/>
    <hyperlink ref="S1280" r:id="rId1569" xr:uid="{00000000-0004-0000-0300-000020060000}"/>
    <hyperlink ref="G1281" r:id="rId1570" xr:uid="{00000000-0004-0000-0300-000021060000}"/>
    <hyperlink ref="S1281" r:id="rId1571" xr:uid="{00000000-0004-0000-0300-000022060000}"/>
    <hyperlink ref="F1282" r:id="rId1572" xr:uid="{00000000-0004-0000-0300-000023060000}"/>
    <hyperlink ref="G1283" r:id="rId1573" xr:uid="{00000000-0004-0000-0300-000024060000}"/>
    <hyperlink ref="S1283" r:id="rId1574" xr:uid="{00000000-0004-0000-0300-000025060000}"/>
    <hyperlink ref="F1285" r:id="rId1575" xr:uid="{00000000-0004-0000-0300-000026060000}"/>
    <hyperlink ref="F1286" r:id="rId1576" xr:uid="{00000000-0004-0000-0300-000027060000}"/>
    <hyperlink ref="G1286" r:id="rId1577" xr:uid="{00000000-0004-0000-0300-000028060000}"/>
    <hyperlink ref="G1287" r:id="rId1578" xr:uid="{00000000-0004-0000-0300-000029060000}"/>
    <hyperlink ref="S1287" r:id="rId1579" xr:uid="{00000000-0004-0000-0300-00002A060000}"/>
    <hyperlink ref="F1289" r:id="rId1580" xr:uid="{00000000-0004-0000-0300-00002B060000}"/>
    <hyperlink ref="S1289" r:id="rId1581" xr:uid="{00000000-0004-0000-0300-00002C060000}"/>
    <hyperlink ref="G1290" r:id="rId1582" xr:uid="{00000000-0004-0000-0300-00002D060000}"/>
    <hyperlink ref="S1291" r:id="rId1583" xr:uid="{00000000-0004-0000-0300-00002E060000}"/>
    <hyperlink ref="F1292" r:id="rId1584" xr:uid="{00000000-0004-0000-0300-00002F060000}"/>
    <hyperlink ref="G1293" r:id="rId1585" xr:uid="{00000000-0004-0000-0300-000030060000}"/>
    <hyperlink ref="S1293" r:id="rId1586" xr:uid="{00000000-0004-0000-0300-000031060000}"/>
    <hyperlink ref="F1294" r:id="rId1587" xr:uid="{00000000-0004-0000-0300-000032060000}"/>
    <hyperlink ref="G1294" r:id="rId1588" xr:uid="{00000000-0004-0000-0300-000033060000}"/>
    <hyperlink ref="S1294" r:id="rId1589" xr:uid="{00000000-0004-0000-0300-000034060000}"/>
    <hyperlink ref="F1295" r:id="rId1590" xr:uid="{00000000-0004-0000-0300-000035060000}"/>
    <hyperlink ref="F1296" r:id="rId1591" xr:uid="{00000000-0004-0000-0300-000036060000}"/>
    <hyperlink ref="G1296" r:id="rId1592" xr:uid="{00000000-0004-0000-0300-000037060000}"/>
    <hyperlink ref="S1296" r:id="rId1593" xr:uid="{00000000-0004-0000-0300-000038060000}"/>
    <hyperlink ref="S1297" r:id="rId1594" xr:uid="{00000000-0004-0000-0300-000039060000}"/>
    <hyperlink ref="G1299" r:id="rId1595" xr:uid="{00000000-0004-0000-0300-00003A060000}"/>
    <hyperlink ref="F1301" r:id="rId1596" xr:uid="{00000000-0004-0000-0300-00003B060000}"/>
    <hyperlink ref="G1301" r:id="rId1597" xr:uid="{00000000-0004-0000-0300-00003C060000}"/>
    <hyperlink ref="S1302" r:id="rId1598" xr:uid="{00000000-0004-0000-0300-00003D060000}"/>
    <hyperlink ref="S1303" r:id="rId1599" xr:uid="{00000000-0004-0000-0300-00003E060000}"/>
    <hyperlink ref="F1304" r:id="rId1600" xr:uid="{00000000-0004-0000-0300-00003F060000}"/>
    <hyperlink ref="S1304" r:id="rId1601" xr:uid="{00000000-0004-0000-0300-000040060000}"/>
    <hyperlink ref="G1305" r:id="rId1602" xr:uid="{00000000-0004-0000-0300-000041060000}"/>
    <hyperlink ref="S1305" r:id="rId1603" xr:uid="{00000000-0004-0000-0300-000042060000}"/>
    <hyperlink ref="S1306" r:id="rId1604" xr:uid="{00000000-0004-0000-0300-000043060000}"/>
    <hyperlink ref="G1307" r:id="rId1605" xr:uid="{00000000-0004-0000-0300-000044060000}"/>
    <hyperlink ref="S1307" r:id="rId1606" xr:uid="{00000000-0004-0000-0300-000045060000}"/>
    <hyperlink ref="G1308" r:id="rId1607" xr:uid="{00000000-0004-0000-0300-000046060000}"/>
    <hyperlink ref="S1308" r:id="rId1608" xr:uid="{00000000-0004-0000-0300-000047060000}"/>
    <hyperlink ref="F1309" r:id="rId1609" xr:uid="{00000000-0004-0000-0300-000048060000}"/>
    <hyperlink ref="S1309" r:id="rId1610" xr:uid="{00000000-0004-0000-0300-000049060000}"/>
    <hyperlink ref="F1310" r:id="rId1611" xr:uid="{00000000-0004-0000-0300-00004A060000}"/>
    <hyperlink ref="G1310" r:id="rId1612" xr:uid="{00000000-0004-0000-0300-00004B060000}"/>
    <hyperlink ref="S1310" r:id="rId1613" xr:uid="{00000000-0004-0000-0300-00004C060000}"/>
    <hyperlink ref="F1311" r:id="rId1614" xr:uid="{00000000-0004-0000-0300-00004D060000}"/>
    <hyperlink ref="G1311" r:id="rId1615" xr:uid="{00000000-0004-0000-0300-00004E060000}"/>
    <hyperlink ref="S1311" r:id="rId1616" xr:uid="{00000000-0004-0000-0300-00004F060000}"/>
    <hyperlink ref="G1312" r:id="rId1617" xr:uid="{00000000-0004-0000-0300-000050060000}"/>
    <hyperlink ref="S1312" r:id="rId1618" xr:uid="{00000000-0004-0000-0300-000051060000}"/>
    <hyperlink ref="G1314" r:id="rId1619" xr:uid="{00000000-0004-0000-0300-000052060000}"/>
    <hyperlink ref="S1314" r:id="rId1620" xr:uid="{00000000-0004-0000-0300-000053060000}"/>
    <hyperlink ref="S1316" r:id="rId1621" xr:uid="{00000000-0004-0000-0300-000054060000}"/>
    <hyperlink ref="S1319" r:id="rId1622" xr:uid="{00000000-0004-0000-0300-000055060000}"/>
    <hyperlink ref="F1320" r:id="rId1623" xr:uid="{00000000-0004-0000-0300-000056060000}"/>
    <hyperlink ref="F1321" r:id="rId1624" xr:uid="{00000000-0004-0000-0300-000057060000}"/>
    <hyperlink ref="S1321" r:id="rId1625" xr:uid="{00000000-0004-0000-0300-000058060000}"/>
    <hyperlink ref="S1323" r:id="rId1626" xr:uid="{00000000-0004-0000-0300-000059060000}"/>
    <hyperlink ref="F1325" r:id="rId1627" xr:uid="{00000000-0004-0000-0300-00005A060000}"/>
    <hyperlink ref="G1325" r:id="rId1628" xr:uid="{00000000-0004-0000-0300-00005B060000}"/>
    <hyperlink ref="G1327" r:id="rId1629" xr:uid="{00000000-0004-0000-0300-00005C060000}"/>
    <hyperlink ref="S1327" r:id="rId1630" xr:uid="{00000000-0004-0000-0300-00005D060000}"/>
    <hyperlink ref="F1328" r:id="rId1631" xr:uid="{00000000-0004-0000-0300-00005E060000}"/>
    <hyperlink ref="S1328" r:id="rId1632" xr:uid="{00000000-0004-0000-0300-00005F060000}"/>
    <hyperlink ref="G1331" r:id="rId1633" xr:uid="{00000000-0004-0000-0300-000060060000}"/>
    <hyperlink ref="S1331" r:id="rId1634" xr:uid="{00000000-0004-0000-0300-000061060000}"/>
    <hyperlink ref="F1332" r:id="rId1635" xr:uid="{00000000-0004-0000-0300-000062060000}"/>
    <hyperlink ref="S1332" r:id="rId1636" xr:uid="{00000000-0004-0000-0300-000063060000}"/>
    <hyperlink ref="F1333" r:id="rId1637" xr:uid="{00000000-0004-0000-0300-000064060000}"/>
    <hyperlink ref="G1333" r:id="rId1638" xr:uid="{00000000-0004-0000-0300-000065060000}"/>
    <hyperlink ref="S1333" r:id="rId1639" xr:uid="{00000000-0004-0000-0300-000066060000}"/>
    <hyperlink ref="S1335" r:id="rId1640" xr:uid="{00000000-0004-0000-0300-000067060000}"/>
    <hyperlink ref="G1336" r:id="rId1641" xr:uid="{00000000-0004-0000-0300-000068060000}"/>
    <hyperlink ref="S1337" r:id="rId1642" xr:uid="{00000000-0004-0000-0300-000069060000}"/>
    <hyperlink ref="F1338" r:id="rId1643" xr:uid="{00000000-0004-0000-0300-00006A060000}"/>
    <hyperlink ref="F1342" r:id="rId1644" xr:uid="{00000000-0004-0000-0300-00006B060000}"/>
    <hyperlink ref="S1342" r:id="rId1645" xr:uid="{00000000-0004-0000-0300-00006C060000}"/>
    <hyperlink ref="F1344" r:id="rId1646" xr:uid="{00000000-0004-0000-0300-00006D060000}"/>
    <hyperlink ref="G1346" r:id="rId1647" xr:uid="{00000000-0004-0000-0300-00006E060000}"/>
    <hyperlink ref="S1346" r:id="rId1648" xr:uid="{00000000-0004-0000-0300-00006F060000}"/>
    <hyperlink ref="F1347" r:id="rId1649" xr:uid="{00000000-0004-0000-0300-000070060000}"/>
    <hyperlink ref="S1347" r:id="rId1650" xr:uid="{00000000-0004-0000-0300-000071060000}"/>
    <hyperlink ref="S1348" r:id="rId1651" xr:uid="{00000000-0004-0000-0300-000072060000}"/>
    <hyperlink ref="G1349" r:id="rId1652" xr:uid="{00000000-0004-0000-0300-000073060000}"/>
    <hyperlink ref="S1350" r:id="rId1653" xr:uid="{00000000-0004-0000-0300-000074060000}"/>
    <hyperlink ref="F1351" r:id="rId1654" xr:uid="{00000000-0004-0000-0300-000075060000}"/>
    <hyperlink ref="G1351" r:id="rId1655" xr:uid="{00000000-0004-0000-0300-000076060000}"/>
    <hyperlink ref="S1351" r:id="rId1656" xr:uid="{00000000-0004-0000-0300-000077060000}"/>
    <hyperlink ref="F1353" r:id="rId1657" xr:uid="{00000000-0004-0000-0300-000078060000}"/>
    <hyperlink ref="G1354" r:id="rId1658" xr:uid="{00000000-0004-0000-0300-000079060000}"/>
    <hyperlink ref="F1355" r:id="rId1659" xr:uid="{00000000-0004-0000-0300-00007A060000}"/>
    <hyperlink ref="G1356" r:id="rId1660" xr:uid="{00000000-0004-0000-0300-00007B060000}"/>
    <hyperlink ref="F1358" r:id="rId1661" xr:uid="{00000000-0004-0000-0300-00007C060000}"/>
    <hyperlink ref="F1361" r:id="rId1662" xr:uid="{00000000-0004-0000-0300-00007D060000}"/>
    <hyperlink ref="G1361" r:id="rId1663" xr:uid="{00000000-0004-0000-0300-00007E060000}"/>
    <hyperlink ref="S1361" r:id="rId1664" xr:uid="{00000000-0004-0000-0300-00007F060000}"/>
    <hyperlink ref="F1363" r:id="rId1665" xr:uid="{00000000-0004-0000-0300-000080060000}"/>
    <hyperlink ref="G1363" r:id="rId1666" xr:uid="{00000000-0004-0000-0300-000081060000}"/>
    <hyperlink ref="F1364" r:id="rId1667" xr:uid="{00000000-0004-0000-0300-000082060000}"/>
    <hyperlink ref="S1364" r:id="rId1668" xr:uid="{00000000-0004-0000-0300-000083060000}"/>
    <hyperlink ref="F1365" r:id="rId1669" xr:uid="{00000000-0004-0000-0300-000084060000}"/>
    <hyperlink ref="F1366" r:id="rId1670" location=".XAgZYQU-hyM.twitter" xr:uid="{00000000-0004-0000-0300-000085060000}"/>
    <hyperlink ref="S1367" r:id="rId1671" xr:uid="{00000000-0004-0000-0300-000086060000}"/>
    <hyperlink ref="F1368" r:id="rId1672" xr:uid="{00000000-0004-0000-0300-000087060000}"/>
    <hyperlink ref="S1368" r:id="rId1673" xr:uid="{00000000-0004-0000-0300-000088060000}"/>
    <hyperlink ref="F1369" r:id="rId1674" xr:uid="{00000000-0004-0000-0300-000089060000}"/>
    <hyperlink ref="F1371" r:id="rId1675" xr:uid="{00000000-0004-0000-0300-00008A060000}"/>
    <hyperlink ref="F1372" r:id="rId1676" xr:uid="{00000000-0004-0000-0300-00008B060000}"/>
    <hyperlink ref="S1373" r:id="rId1677" xr:uid="{00000000-0004-0000-0300-00008C060000}"/>
    <hyperlink ref="F1374" r:id="rId1678" xr:uid="{00000000-0004-0000-0300-00008D060000}"/>
    <hyperlink ref="F1375" r:id="rId1679" xr:uid="{00000000-0004-0000-0300-00008E060000}"/>
    <hyperlink ref="G1375" r:id="rId1680" xr:uid="{00000000-0004-0000-0300-00008F060000}"/>
    <hyperlink ref="S1375" r:id="rId1681" xr:uid="{00000000-0004-0000-0300-000090060000}"/>
    <hyperlink ref="G1376" r:id="rId1682" xr:uid="{00000000-0004-0000-0300-000091060000}"/>
    <hyperlink ref="S1376" r:id="rId1683" xr:uid="{00000000-0004-0000-0300-000092060000}"/>
    <hyperlink ref="G1377" r:id="rId1684" xr:uid="{00000000-0004-0000-0300-000093060000}"/>
    <hyperlink ref="S1378" r:id="rId1685" xr:uid="{00000000-0004-0000-0300-000094060000}"/>
    <hyperlink ref="F1379" r:id="rId1686" xr:uid="{00000000-0004-0000-0300-000095060000}"/>
    <hyperlink ref="G1379" r:id="rId1687" xr:uid="{00000000-0004-0000-0300-000096060000}"/>
    <hyperlink ref="G1380" r:id="rId1688" xr:uid="{00000000-0004-0000-0300-000097060000}"/>
    <hyperlink ref="S1380" r:id="rId1689" xr:uid="{00000000-0004-0000-0300-000098060000}"/>
    <hyperlink ref="G1381" r:id="rId1690" xr:uid="{00000000-0004-0000-0300-000099060000}"/>
    <hyperlink ref="F1383" r:id="rId1691" xr:uid="{00000000-0004-0000-0300-00009A060000}"/>
    <hyperlink ref="F1386" r:id="rId1692" xr:uid="{00000000-0004-0000-0300-00009B060000}"/>
    <hyperlink ref="S1386" r:id="rId1693" xr:uid="{00000000-0004-0000-0300-00009C060000}"/>
    <hyperlink ref="F1387" r:id="rId1694" xr:uid="{00000000-0004-0000-0300-00009D060000}"/>
    <hyperlink ref="S1387" r:id="rId1695" xr:uid="{00000000-0004-0000-0300-00009E060000}"/>
    <hyperlink ref="G1388" r:id="rId1696" xr:uid="{00000000-0004-0000-0300-00009F060000}"/>
    <hyperlink ref="S1388" r:id="rId1697" xr:uid="{00000000-0004-0000-0300-0000A0060000}"/>
    <hyperlink ref="S1390" r:id="rId1698" xr:uid="{00000000-0004-0000-0300-0000A1060000}"/>
    <hyperlink ref="F1391" r:id="rId1699" xr:uid="{00000000-0004-0000-0300-0000A2060000}"/>
    <hyperlink ref="F1392" r:id="rId1700" xr:uid="{00000000-0004-0000-0300-0000A3060000}"/>
    <hyperlink ref="S1392" r:id="rId1701" xr:uid="{00000000-0004-0000-0300-0000A4060000}"/>
    <hyperlink ref="S1393" r:id="rId1702" xr:uid="{00000000-0004-0000-0300-0000A5060000}"/>
    <hyperlink ref="G1394" r:id="rId1703" xr:uid="{00000000-0004-0000-0300-0000A6060000}"/>
    <hyperlink ref="F1395" r:id="rId1704" xr:uid="{00000000-0004-0000-0300-0000A7060000}"/>
    <hyperlink ref="G1396" r:id="rId1705" xr:uid="{00000000-0004-0000-0300-0000A8060000}"/>
    <hyperlink ref="S1396" r:id="rId1706" xr:uid="{00000000-0004-0000-0300-0000A9060000}"/>
    <hyperlink ref="F1398" r:id="rId1707" xr:uid="{00000000-0004-0000-0300-0000AA060000}"/>
    <hyperlink ref="S1398" r:id="rId1708" xr:uid="{00000000-0004-0000-0300-0000AB060000}"/>
    <hyperlink ref="G1399" r:id="rId1709" xr:uid="{00000000-0004-0000-0300-0000AC060000}"/>
    <hyperlink ref="F1400" r:id="rId1710" xr:uid="{00000000-0004-0000-0300-0000AD060000}"/>
    <hyperlink ref="F1401" r:id="rId1711" xr:uid="{00000000-0004-0000-0300-0000AE060000}"/>
    <hyperlink ref="G1401" r:id="rId1712" xr:uid="{00000000-0004-0000-0300-0000AF060000}"/>
    <hyperlink ref="S1401" r:id="rId1713" xr:uid="{00000000-0004-0000-0300-0000B0060000}"/>
    <hyperlink ref="G1405" r:id="rId1714" xr:uid="{00000000-0004-0000-0300-0000B1060000}"/>
    <hyperlink ref="S1405" r:id="rId1715" xr:uid="{00000000-0004-0000-0300-0000B2060000}"/>
    <hyperlink ref="G1406" r:id="rId1716" xr:uid="{00000000-0004-0000-0300-0000B3060000}"/>
    <hyperlink ref="S1406" r:id="rId1717" xr:uid="{00000000-0004-0000-0300-0000B4060000}"/>
    <hyperlink ref="G1408" r:id="rId1718" xr:uid="{00000000-0004-0000-0300-0000B5060000}"/>
    <hyperlink ref="G1409" r:id="rId1719" xr:uid="{00000000-0004-0000-0300-0000B6060000}"/>
    <hyperlink ref="G1410" r:id="rId1720" xr:uid="{00000000-0004-0000-0300-0000B7060000}"/>
    <hyperlink ref="S1412" r:id="rId1721" xr:uid="{00000000-0004-0000-0300-0000B8060000}"/>
    <hyperlink ref="F1415" r:id="rId1722" xr:uid="{00000000-0004-0000-0300-0000B9060000}"/>
    <hyperlink ref="G1415" r:id="rId1723" xr:uid="{00000000-0004-0000-0300-0000BA060000}"/>
    <hyperlink ref="G1416" r:id="rId1724" xr:uid="{00000000-0004-0000-0300-0000BB060000}"/>
    <hyperlink ref="S1416" r:id="rId1725" xr:uid="{00000000-0004-0000-0300-0000BC060000}"/>
    <hyperlink ref="F1421" r:id="rId1726" xr:uid="{00000000-0004-0000-0300-0000BD060000}"/>
    <hyperlink ref="F1423" r:id="rId1727" xr:uid="{00000000-0004-0000-0300-0000BE060000}"/>
    <hyperlink ref="F1424" r:id="rId1728" xr:uid="{00000000-0004-0000-0300-0000BF060000}"/>
    <hyperlink ref="S1425" r:id="rId1729" xr:uid="{00000000-0004-0000-0300-0000C0060000}"/>
    <hyperlink ref="S1426" r:id="rId1730" xr:uid="{00000000-0004-0000-0300-0000C1060000}"/>
    <hyperlink ref="F1427" r:id="rId1731" xr:uid="{00000000-0004-0000-0300-0000C2060000}"/>
    <hyperlink ref="G1428" r:id="rId1732" xr:uid="{00000000-0004-0000-0300-0000C3060000}"/>
    <hyperlink ref="S1428" r:id="rId1733" xr:uid="{00000000-0004-0000-0300-0000C4060000}"/>
    <hyperlink ref="F1429" r:id="rId1734" xr:uid="{00000000-0004-0000-0300-0000C5060000}"/>
    <hyperlink ref="G1429" r:id="rId1735" xr:uid="{00000000-0004-0000-0300-0000C6060000}"/>
    <hyperlink ref="S1429" r:id="rId1736" xr:uid="{00000000-0004-0000-0300-0000C7060000}"/>
    <hyperlink ref="S1430" r:id="rId1737" xr:uid="{00000000-0004-0000-0300-0000C8060000}"/>
    <hyperlink ref="G1432" r:id="rId1738" xr:uid="{00000000-0004-0000-0300-0000C9060000}"/>
    <hyperlink ref="F1433" r:id="rId1739" xr:uid="{00000000-0004-0000-0300-0000CA060000}"/>
    <hyperlink ref="G1433" r:id="rId1740" xr:uid="{00000000-0004-0000-0300-0000CB060000}"/>
    <hyperlink ref="S1433" r:id="rId1741" xr:uid="{00000000-0004-0000-0300-0000CC060000}"/>
    <hyperlink ref="F1435" r:id="rId1742" xr:uid="{00000000-0004-0000-0300-0000CD060000}"/>
    <hyperlink ref="F1436" r:id="rId1743" xr:uid="{00000000-0004-0000-0300-0000CE060000}"/>
    <hyperlink ref="G1436" r:id="rId1744" xr:uid="{00000000-0004-0000-0300-0000CF060000}"/>
    <hyperlink ref="S1436" r:id="rId1745" xr:uid="{00000000-0004-0000-0300-0000D0060000}"/>
    <hyperlink ref="F1437" r:id="rId1746" xr:uid="{00000000-0004-0000-0300-0000D1060000}"/>
    <hyperlink ref="F1438" r:id="rId1747" xr:uid="{00000000-0004-0000-0300-0000D2060000}"/>
    <hyperlink ref="F1439" r:id="rId1748" xr:uid="{00000000-0004-0000-0300-0000D3060000}"/>
    <hyperlink ref="G1439" r:id="rId1749" xr:uid="{00000000-0004-0000-0300-0000D4060000}"/>
    <hyperlink ref="S1439" r:id="rId1750" xr:uid="{00000000-0004-0000-0300-0000D5060000}"/>
    <hyperlink ref="F1442" r:id="rId1751" xr:uid="{00000000-0004-0000-0300-0000D6060000}"/>
    <hyperlink ref="G1442" r:id="rId1752" xr:uid="{00000000-0004-0000-0300-0000D7060000}"/>
    <hyperlink ref="F1443" r:id="rId1753" xr:uid="{00000000-0004-0000-0300-0000D8060000}"/>
    <hyperlink ref="S1443" r:id="rId1754" xr:uid="{00000000-0004-0000-0300-0000D9060000}"/>
    <hyperlink ref="F1444" r:id="rId1755" xr:uid="{00000000-0004-0000-0300-0000DA060000}"/>
    <hyperlink ref="F1447" r:id="rId1756" xr:uid="{00000000-0004-0000-0300-0000DB060000}"/>
    <hyperlink ref="S1447" r:id="rId1757" xr:uid="{00000000-0004-0000-0300-0000DC060000}"/>
    <hyperlink ref="G1449" r:id="rId1758" xr:uid="{00000000-0004-0000-0300-0000DD060000}"/>
    <hyperlink ref="G1451" r:id="rId1759" xr:uid="{00000000-0004-0000-0300-0000DE060000}"/>
    <hyperlink ref="S1451" r:id="rId1760" xr:uid="{00000000-0004-0000-0300-0000DF060000}"/>
    <hyperlink ref="G1452" r:id="rId1761" xr:uid="{00000000-0004-0000-0300-0000E0060000}"/>
    <hyperlink ref="F1453" r:id="rId1762" xr:uid="{00000000-0004-0000-0300-0000E1060000}"/>
    <hyperlink ref="S1453" r:id="rId1763" xr:uid="{00000000-0004-0000-0300-0000E2060000}"/>
    <hyperlink ref="F1455" r:id="rId1764" xr:uid="{00000000-0004-0000-0300-0000E3060000}"/>
    <hyperlink ref="G1456" r:id="rId1765" xr:uid="{00000000-0004-0000-0300-0000E4060000}"/>
    <hyperlink ref="F1457" r:id="rId1766" xr:uid="{00000000-0004-0000-0300-0000E5060000}"/>
    <hyperlink ref="F1458" r:id="rId1767" xr:uid="{00000000-0004-0000-0300-0000E6060000}"/>
    <hyperlink ref="F1459" r:id="rId1768" xr:uid="{00000000-0004-0000-0300-0000E7060000}"/>
    <hyperlink ref="F1460" r:id="rId1769" xr:uid="{00000000-0004-0000-0300-0000E8060000}"/>
    <hyperlink ref="F1461" r:id="rId1770" xr:uid="{00000000-0004-0000-0300-0000E9060000}"/>
    <hyperlink ref="G1461" r:id="rId1771" xr:uid="{00000000-0004-0000-0300-0000EA060000}"/>
    <hyperlink ref="S1461" r:id="rId1772" xr:uid="{00000000-0004-0000-0300-0000EB060000}"/>
    <hyperlink ref="F1462" r:id="rId1773" xr:uid="{00000000-0004-0000-0300-0000EC060000}"/>
    <hyperlink ref="S1462" r:id="rId1774" xr:uid="{00000000-0004-0000-0300-0000ED060000}"/>
    <hyperlink ref="F1463" r:id="rId1775" xr:uid="{00000000-0004-0000-0300-0000EE060000}"/>
    <hyperlink ref="G1463" r:id="rId1776" xr:uid="{00000000-0004-0000-0300-0000EF060000}"/>
    <hyperlink ref="S1463" r:id="rId1777" xr:uid="{00000000-0004-0000-0300-0000F0060000}"/>
    <hyperlink ref="F1464" r:id="rId1778" location="xtor=AD-15&amp;xts=467263" xr:uid="{00000000-0004-0000-0300-0000F1060000}"/>
    <hyperlink ref="G1464" r:id="rId1779" xr:uid="{00000000-0004-0000-0300-0000F2060000}"/>
    <hyperlink ref="S1464" r:id="rId1780" xr:uid="{00000000-0004-0000-0300-0000F3060000}"/>
    <hyperlink ref="F1465" r:id="rId1781" xr:uid="{00000000-0004-0000-0300-0000F4060000}"/>
    <hyperlink ref="S1465" r:id="rId1782" xr:uid="{00000000-0004-0000-0300-0000F5060000}"/>
    <hyperlink ref="F1468" r:id="rId1783" xr:uid="{00000000-0004-0000-0300-0000F6060000}"/>
    <hyperlink ref="S1468" r:id="rId1784" xr:uid="{00000000-0004-0000-0300-0000F7060000}"/>
    <hyperlink ref="F1469" r:id="rId1785" xr:uid="{00000000-0004-0000-0300-0000F8060000}"/>
    <hyperlink ref="F1470" r:id="rId1786" xr:uid="{00000000-0004-0000-0300-0000F9060000}"/>
    <hyperlink ref="F1471" r:id="rId1787" xr:uid="{00000000-0004-0000-0300-0000FA060000}"/>
    <hyperlink ref="F1472" r:id="rId1788" xr:uid="{00000000-0004-0000-0300-0000FB060000}"/>
    <hyperlink ref="S1472" r:id="rId1789" xr:uid="{00000000-0004-0000-0300-0000FC060000}"/>
    <hyperlink ref="F1473" r:id="rId1790" xr:uid="{00000000-0004-0000-0300-0000FD060000}"/>
    <hyperlink ref="S1473" r:id="rId1791" xr:uid="{00000000-0004-0000-0300-0000FE060000}"/>
    <hyperlink ref="F1474" r:id="rId1792" xr:uid="{00000000-0004-0000-0300-0000FF060000}"/>
    <hyperlink ref="F1475" r:id="rId1793" xr:uid="{00000000-0004-0000-0300-000000070000}"/>
    <hyperlink ref="G1475" r:id="rId1794" xr:uid="{00000000-0004-0000-0300-000001070000}"/>
    <hyperlink ref="F1476" r:id="rId1795" xr:uid="{00000000-0004-0000-0300-000002070000}"/>
    <hyperlink ref="F1477" r:id="rId1796" xr:uid="{00000000-0004-0000-0300-000003070000}"/>
    <hyperlink ref="F1478" r:id="rId1797" xr:uid="{00000000-0004-0000-0300-000004070000}"/>
    <hyperlink ref="G1479" r:id="rId1798" xr:uid="{00000000-0004-0000-0300-000005070000}"/>
    <hyperlink ref="F1480" r:id="rId1799" xr:uid="{00000000-0004-0000-0300-000006070000}"/>
    <hyperlink ref="S1481" r:id="rId1800" xr:uid="{00000000-0004-0000-0300-000007070000}"/>
    <hyperlink ref="S1482" r:id="rId1801" xr:uid="{00000000-0004-0000-0300-000008070000}"/>
    <hyperlink ref="G1483" r:id="rId1802" xr:uid="{00000000-0004-0000-0300-000009070000}"/>
    <hyperlink ref="F1484" r:id="rId1803" xr:uid="{00000000-0004-0000-0300-00000A070000}"/>
    <hyperlink ref="S1484" r:id="rId1804" xr:uid="{00000000-0004-0000-0300-00000B070000}"/>
    <hyperlink ref="G1485" r:id="rId1805" xr:uid="{00000000-0004-0000-0300-00000C070000}"/>
    <hyperlink ref="F1486" r:id="rId1806" xr:uid="{00000000-0004-0000-0300-00000D070000}"/>
    <hyperlink ref="F1487" r:id="rId1807" xr:uid="{00000000-0004-0000-0300-00000E070000}"/>
    <hyperlink ref="F1488" r:id="rId1808" location=".XAgDVmN8PDs.twitter" xr:uid="{00000000-0004-0000-0300-00000F070000}"/>
    <hyperlink ref="G1490" r:id="rId1809" xr:uid="{00000000-0004-0000-0300-000010070000}"/>
    <hyperlink ref="S1490" r:id="rId1810" xr:uid="{00000000-0004-0000-0300-000011070000}"/>
    <hyperlink ref="F1491" r:id="rId1811" xr:uid="{00000000-0004-0000-0300-000012070000}"/>
    <hyperlink ref="G1491" r:id="rId1812" xr:uid="{00000000-0004-0000-0300-000013070000}"/>
    <hyperlink ref="F1492" r:id="rId1813" xr:uid="{00000000-0004-0000-0300-000014070000}"/>
    <hyperlink ref="S1492" r:id="rId1814" xr:uid="{00000000-0004-0000-0300-000015070000}"/>
    <hyperlink ref="F1494" r:id="rId1815" xr:uid="{00000000-0004-0000-0300-000016070000}"/>
    <hyperlink ref="S1494" r:id="rId1816" xr:uid="{00000000-0004-0000-0300-000017070000}"/>
    <hyperlink ref="G1495" r:id="rId1817" xr:uid="{00000000-0004-0000-0300-000018070000}"/>
    <hyperlink ref="S1496" r:id="rId1818" xr:uid="{00000000-0004-0000-0300-000019070000}"/>
    <hyperlink ref="G1498" r:id="rId1819" xr:uid="{00000000-0004-0000-0300-00001A070000}"/>
    <hyperlink ref="F1499" r:id="rId1820" xr:uid="{00000000-0004-0000-0300-00001B070000}"/>
    <hyperlink ref="S1499" r:id="rId1821" xr:uid="{00000000-0004-0000-0300-00001C070000}"/>
    <hyperlink ref="G1500" r:id="rId1822" xr:uid="{00000000-0004-0000-0300-00001D070000}"/>
    <hyperlink ref="S1500" r:id="rId1823" xr:uid="{00000000-0004-0000-0300-00001E070000}"/>
    <hyperlink ref="G1501" r:id="rId1824" xr:uid="{00000000-0004-0000-0300-00001F070000}"/>
    <hyperlink ref="F1502" r:id="rId1825" xr:uid="{00000000-0004-0000-0300-000020070000}"/>
    <hyperlink ref="G1502" r:id="rId1826" xr:uid="{00000000-0004-0000-0300-000021070000}"/>
    <hyperlink ref="S1502" r:id="rId1827" xr:uid="{00000000-0004-0000-0300-000022070000}"/>
    <hyperlink ref="F1503" r:id="rId1828" location=".XAf93-tZDWw.twitter" xr:uid="{00000000-0004-0000-0300-000023070000}"/>
    <hyperlink ref="S1503" r:id="rId1829" xr:uid="{00000000-0004-0000-0300-000024070000}"/>
    <hyperlink ref="G1504" r:id="rId1830" xr:uid="{00000000-0004-0000-0300-000025070000}"/>
    <hyperlink ref="S1504" r:id="rId1831" xr:uid="{00000000-0004-0000-0300-000026070000}"/>
    <hyperlink ref="G1506" r:id="rId1832" xr:uid="{00000000-0004-0000-0300-000027070000}"/>
    <hyperlink ref="F1507" r:id="rId1833" xr:uid="{00000000-0004-0000-0300-000028070000}"/>
    <hyperlink ref="G1507" r:id="rId1834" xr:uid="{00000000-0004-0000-0300-000029070000}"/>
    <hyperlink ref="S1507" r:id="rId1835" xr:uid="{00000000-0004-0000-0300-00002A070000}"/>
    <hyperlink ref="F1508" r:id="rId1836" xr:uid="{00000000-0004-0000-0300-00002B070000}"/>
    <hyperlink ref="G1508" r:id="rId1837" xr:uid="{00000000-0004-0000-0300-00002C070000}"/>
    <hyperlink ref="S1508" r:id="rId1838" xr:uid="{00000000-0004-0000-0300-00002D070000}"/>
    <hyperlink ref="F1509" r:id="rId1839" xr:uid="{00000000-0004-0000-0300-00002E070000}"/>
    <hyperlink ref="G1509" r:id="rId1840" xr:uid="{00000000-0004-0000-0300-00002F070000}"/>
    <hyperlink ref="S1509" r:id="rId1841" xr:uid="{00000000-0004-0000-0300-000030070000}"/>
    <hyperlink ref="G1510" r:id="rId1842" xr:uid="{00000000-0004-0000-0300-000031070000}"/>
    <hyperlink ref="F1512" r:id="rId1843" xr:uid="{00000000-0004-0000-0300-000032070000}"/>
    <hyperlink ref="G1512" r:id="rId1844" xr:uid="{00000000-0004-0000-0300-000033070000}"/>
    <hyperlink ref="F1513" r:id="rId1845" xr:uid="{00000000-0004-0000-0300-000034070000}"/>
    <hyperlink ref="S1513" r:id="rId1846" xr:uid="{00000000-0004-0000-0300-000035070000}"/>
    <hyperlink ref="F1514" r:id="rId1847" xr:uid="{00000000-0004-0000-0300-000036070000}"/>
    <hyperlink ref="G1514" r:id="rId1848" xr:uid="{00000000-0004-0000-0300-000037070000}"/>
    <hyperlink ref="S1514" r:id="rId1849" xr:uid="{00000000-0004-0000-0300-000038070000}"/>
    <hyperlink ref="F1515" r:id="rId1850" xr:uid="{00000000-0004-0000-0300-000039070000}"/>
    <hyperlink ref="G1516" r:id="rId1851" xr:uid="{00000000-0004-0000-0300-00003A070000}"/>
    <hyperlink ref="G1517" r:id="rId1852" xr:uid="{00000000-0004-0000-0300-00003B070000}"/>
    <hyperlink ref="G1518" r:id="rId1853" xr:uid="{00000000-0004-0000-0300-00003C070000}"/>
    <hyperlink ref="S1518" r:id="rId1854" xr:uid="{00000000-0004-0000-0300-00003D070000}"/>
    <hyperlink ref="F1519" r:id="rId1855" xr:uid="{00000000-0004-0000-0300-00003E070000}"/>
    <hyperlink ref="S1519" r:id="rId1856" xr:uid="{00000000-0004-0000-0300-00003F070000}"/>
    <hyperlink ref="F1521" r:id="rId1857" xr:uid="{00000000-0004-0000-0300-000040070000}"/>
    <hyperlink ref="G1521" r:id="rId1858" xr:uid="{00000000-0004-0000-0300-000041070000}"/>
    <hyperlink ref="S1521" r:id="rId1859" xr:uid="{00000000-0004-0000-0300-000042070000}"/>
    <hyperlink ref="F1522" r:id="rId1860" xr:uid="{00000000-0004-0000-0300-000043070000}"/>
    <hyperlink ref="S1522" r:id="rId1861" xr:uid="{00000000-0004-0000-0300-000044070000}"/>
    <hyperlink ref="F1523" r:id="rId1862" xr:uid="{00000000-0004-0000-0300-000045070000}"/>
    <hyperlink ref="F1524" r:id="rId1863" xr:uid="{00000000-0004-0000-0300-000046070000}"/>
    <hyperlink ref="G1524" r:id="rId1864" xr:uid="{00000000-0004-0000-0300-000047070000}"/>
    <hyperlink ref="S1524" r:id="rId1865" xr:uid="{00000000-0004-0000-0300-000048070000}"/>
    <hyperlink ref="F1525" r:id="rId1866" xr:uid="{00000000-0004-0000-0300-000049070000}"/>
    <hyperlink ref="S1525" r:id="rId1867" xr:uid="{00000000-0004-0000-0300-00004A070000}"/>
    <hyperlink ref="F1526" r:id="rId1868" xr:uid="{00000000-0004-0000-0300-00004B070000}"/>
    <hyperlink ref="G1526" r:id="rId1869" xr:uid="{00000000-0004-0000-0300-00004C070000}"/>
    <hyperlink ref="S1527" r:id="rId1870" xr:uid="{00000000-0004-0000-0300-00004D070000}"/>
    <hyperlink ref="F1528" r:id="rId1871" xr:uid="{00000000-0004-0000-0300-00004E070000}"/>
    <hyperlink ref="S1529" r:id="rId1872" xr:uid="{00000000-0004-0000-0300-00004F070000}"/>
    <hyperlink ref="F1530" r:id="rId1873" xr:uid="{00000000-0004-0000-0300-000050070000}"/>
    <hyperlink ref="F1531" r:id="rId1874" xr:uid="{00000000-0004-0000-0300-000051070000}"/>
    <hyperlink ref="S1531" r:id="rId1875" xr:uid="{00000000-0004-0000-0300-000052070000}"/>
    <hyperlink ref="S1532" r:id="rId1876" xr:uid="{00000000-0004-0000-0300-000053070000}"/>
    <hyperlink ref="F1534" r:id="rId1877" xr:uid="{00000000-0004-0000-0300-000054070000}"/>
    <hyperlink ref="G1534" r:id="rId1878" xr:uid="{00000000-0004-0000-0300-000055070000}"/>
    <hyperlink ref="G1535" r:id="rId1879" xr:uid="{00000000-0004-0000-0300-000056070000}"/>
    <hyperlink ref="S1535" r:id="rId1880" xr:uid="{00000000-0004-0000-0300-000057070000}"/>
    <hyperlink ref="F1536" r:id="rId1881" xr:uid="{00000000-0004-0000-0300-000058070000}"/>
    <hyperlink ref="S1537" r:id="rId1882" xr:uid="{00000000-0004-0000-0300-000059070000}"/>
    <hyperlink ref="G1539" r:id="rId1883" xr:uid="{00000000-0004-0000-0300-00005A070000}"/>
    <hyperlink ref="S1539" r:id="rId1884" xr:uid="{00000000-0004-0000-0300-00005B070000}"/>
    <hyperlink ref="F1540" r:id="rId1885" xr:uid="{00000000-0004-0000-0300-00005C070000}"/>
    <hyperlink ref="S1540" r:id="rId1886" xr:uid="{00000000-0004-0000-0300-00005D070000}"/>
    <hyperlink ref="S1541" r:id="rId1887" xr:uid="{00000000-0004-0000-0300-00005E070000}"/>
    <hyperlink ref="F1543" r:id="rId1888" xr:uid="{00000000-0004-0000-0300-00005F070000}"/>
    <hyperlink ref="G1543" r:id="rId1889" xr:uid="{00000000-0004-0000-0300-000060070000}"/>
    <hyperlink ref="F1544" r:id="rId1890" xr:uid="{00000000-0004-0000-0300-000061070000}"/>
    <hyperlink ref="G1545" r:id="rId1891" xr:uid="{00000000-0004-0000-0300-000062070000}"/>
    <hyperlink ref="S1545" r:id="rId1892" xr:uid="{00000000-0004-0000-0300-000063070000}"/>
    <hyperlink ref="G1546" r:id="rId1893" xr:uid="{00000000-0004-0000-0300-000064070000}"/>
    <hyperlink ref="S1546" r:id="rId1894" xr:uid="{00000000-0004-0000-0300-000065070000}"/>
    <hyperlink ref="F1547" r:id="rId1895" location=".XAfwwcFWrLI.twitter" xr:uid="{00000000-0004-0000-0300-000066070000}"/>
    <hyperlink ref="G1548" r:id="rId1896" xr:uid="{00000000-0004-0000-0300-000067070000}"/>
    <hyperlink ref="F1550" r:id="rId1897" xr:uid="{00000000-0004-0000-0300-000068070000}"/>
    <hyperlink ref="G1551" r:id="rId1898" xr:uid="{00000000-0004-0000-0300-000069070000}"/>
    <hyperlink ref="F1554" r:id="rId1899" xr:uid="{00000000-0004-0000-0300-00006A070000}"/>
    <hyperlink ref="S1554" r:id="rId1900" xr:uid="{00000000-0004-0000-0300-00006B070000}"/>
    <hyperlink ref="G1555" r:id="rId1901" xr:uid="{00000000-0004-0000-0300-00006C070000}"/>
    <hyperlink ref="S1556" r:id="rId1902" xr:uid="{00000000-0004-0000-0300-00006D070000}"/>
    <hyperlink ref="F1559" r:id="rId1903" xr:uid="{00000000-0004-0000-0300-00006E070000}"/>
    <hyperlink ref="G1559" r:id="rId1904" xr:uid="{00000000-0004-0000-0300-00006F070000}"/>
    <hyperlink ref="F1560" r:id="rId1905" xr:uid="{00000000-0004-0000-0300-000070070000}"/>
    <hyperlink ref="S1560" r:id="rId1906" xr:uid="{00000000-0004-0000-0300-000071070000}"/>
    <hyperlink ref="F1561" r:id="rId1907" xr:uid="{00000000-0004-0000-0300-000072070000}"/>
    <hyperlink ref="F1562" r:id="rId1908" xr:uid="{00000000-0004-0000-0300-000073070000}"/>
    <hyperlink ref="F1563" r:id="rId1909" xr:uid="{00000000-0004-0000-0300-000074070000}"/>
    <hyperlink ref="S1563" r:id="rId1910" xr:uid="{00000000-0004-0000-0300-000075070000}"/>
    <hyperlink ref="F1565" r:id="rId1911" location="ns_campaign=gs-ms&amp;ns_mchannel=diariosur&amp;ns_source=tw&amp;ns_linkname=ltl" xr:uid="{00000000-0004-0000-0300-000076070000}"/>
    <hyperlink ref="S1565" r:id="rId1912" xr:uid="{00000000-0004-0000-0300-000077070000}"/>
    <hyperlink ref="F1569" r:id="rId1913" xr:uid="{00000000-0004-0000-0300-000078070000}"/>
    <hyperlink ref="F1570" r:id="rId1914" xr:uid="{00000000-0004-0000-0300-000079070000}"/>
    <hyperlink ref="F1571" r:id="rId1915" xr:uid="{00000000-0004-0000-0300-00007A070000}"/>
    <hyperlink ref="S1571" r:id="rId1916" xr:uid="{00000000-0004-0000-0300-00007B070000}"/>
    <hyperlink ref="F1572" r:id="rId1917" xr:uid="{00000000-0004-0000-0300-00007C070000}"/>
    <hyperlink ref="S1574" r:id="rId1918" xr:uid="{00000000-0004-0000-0300-00007D070000}"/>
    <hyperlink ref="S1575" r:id="rId1919" xr:uid="{00000000-0004-0000-0300-00007E070000}"/>
    <hyperlink ref="G1577" r:id="rId1920" xr:uid="{00000000-0004-0000-0300-00007F070000}"/>
    <hyperlink ref="S1577" r:id="rId1921" xr:uid="{00000000-0004-0000-0300-000080070000}"/>
    <hyperlink ref="F1578" r:id="rId1922" location=".XAfpa0Aa-5Y.twitter" xr:uid="{00000000-0004-0000-0300-000081070000}"/>
    <hyperlink ref="S1578" r:id="rId1923" xr:uid="{00000000-0004-0000-0300-000082070000}"/>
    <hyperlink ref="F1579" r:id="rId1924" xr:uid="{00000000-0004-0000-0300-000083070000}"/>
    <hyperlink ref="G1579" r:id="rId1925" xr:uid="{00000000-0004-0000-0300-000084070000}"/>
    <hyperlink ref="S1579" r:id="rId1926" xr:uid="{00000000-0004-0000-0300-000085070000}"/>
    <hyperlink ref="S1580" r:id="rId1927" xr:uid="{00000000-0004-0000-0300-000086070000}"/>
    <hyperlink ref="S1583" r:id="rId1928" xr:uid="{00000000-0004-0000-0300-000087070000}"/>
    <hyperlink ref="F1584" r:id="rId1929" xr:uid="{00000000-0004-0000-0300-000088070000}"/>
    <hyperlink ref="S1584" r:id="rId1930" xr:uid="{00000000-0004-0000-0300-000089070000}"/>
    <hyperlink ref="F1586" r:id="rId1931" location=".XAfn1uOlvk8.twitter" xr:uid="{00000000-0004-0000-0300-00008A070000}"/>
    <hyperlink ref="S1586" r:id="rId1932" xr:uid="{00000000-0004-0000-0300-00008B070000}"/>
    <hyperlink ref="F1587" r:id="rId1933" xr:uid="{00000000-0004-0000-0300-00008C070000}"/>
    <hyperlink ref="G1587" r:id="rId1934" xr:uid="{00000000-0004-0000-0300-00008D070000}"/>
    <hyperlink ref="F1588" r:id="rId1935" xr:uid="{00000000-0004-0000-0300-00008E070000}"/>
    <hyperlink ref="F1589" r:id="rId1936" xr:uid="{00000000-0004-0000-0300-00008F070000}"/>
    <hyperlink ref="G1589" r:id="rId1937" xr:uid="{00000000-0004-0000-0300-000090070000}"/>
    <hyperlink ref="S1589" r:id="rId1938" xr:uid="{00000000-0004-0000-0300-000091070000}"/>
    <hyperlink ref="S1591" r:id="rId1939" xr:uid="{00000000-0004-0000-0300-000092070000}"/>
    <hyperlink ref="F1593" r:id="rId1940" xr:uid="{00000000-0004-0000-0300-000093070000}"/>
    <hyperlink ref="F1594" r:id="rId1941" xr:uid="{00000000-0004-0000-0300-000094070000}"/>
    <hyperlink ref="G1595" r:id="rId1942" xr:uid="{00000000-0004-0000-0300-000095070000}"/>
    <hyperlink ref="F1596" r:id="rId1943" xr:uid="{00000000-0004-0000-0300-000096070000}"/>
    <hyperlink ref="F1597" r:id="rId1944" xr:uid="{00000000-0004-0000-0300-000097070000}"/>
    <hyperlink ref="S1597" r:id="rId1945" xr:uid="{00000000-0004-0000-0300-000098070000}"/>
    <hyperlink ref="S1598" r:id="rId1946" xr:uid="{00000000-0004-0000-0300-000099070000}"/>
    <hyperlink ref="F1600" r:id="rId1947" location=".XAfj0cglwf4.twitter" xr:uid="{00000000-0004-0000-0300-00009A070000}"/>
    <hyperlink ref="S1600" r:id="rId1948" xr:uid="{00000000-0004-0000-0300-00009B070000}"/>
    <hyperlink ref="F1601" r:id="rId1949" xr:uid="{00000000-0004-0000-0300-00009C070000}"/>
    <hyperlink ref="F1603" r:id="rId1950" xr:uid="{00000000-0004-0000-0300-00009D070000}"/>
    <hyperlink ref="S1603" r:id="rId1951" xr:uid="{00000000-0004-0000-0300-00009E070000}"/>
    <hyperlink ref="G1604" r:id="rId1952" xr:uid="{00000000-0004-0000-0300-00009F070000}"/>
    <hyperlink ref="F1606" r:id="rId1953" xr:uid="{00000000-0004-0000-0300-0000A0070000}"/>
    <hyperlink ref="S1606" r:id="rId1954" xr:uid="{00000000-0004-0000-0300-0000A1070000}"/>
    <hyperlink ref="F1608" r:id="rId1955" xr:uid="{00000000-0004-0000-0300-0000A2070000}"/>
    <hyperlink ref="G1609" r:id="rId1956" xr:uid="{00000000-0004-0000-0300-0000A3070000}"/>
    <hyperlink ref="F1610" r:id="rId1957" xr:uid="{00000000-0004-0000-0300-0000A4070000}"/>
    <hyperlink ref="F1611" r:id="rId1958" xr:uid="{00000000-0004-0000-0300-0000A5070000}"/>
    <hyperlink ref="G1611" r:id="rId1959" xr:uid="{00000000-0004-0000-0300-0000A6070000}"/>
    <hyperlink ref="G1612" r:id="rId1960" xr:uid="{00000000-0004-0000-0300-0000A7070000}"/>
    <hyperlink ref="F1613" r:id="rId1961" xr:uid="{00000000-0004-0000-0300-0000A8070000}"/>
    <hyperlink ref="G1613" r:id="rId1962" xr:uid="{00000000-0004-0000-0300-0000A9070000}"/>
    <hyperlink ref="G1614" r:id="rId1963" xr:uid="{00000000-0004-0000-0300-0000AA070000}"/>
    <hyperlink ref="S1614" r:id="rId1964" xr:uid="{00000000-0004-0000-0300-0000AB070000}"/>
    <hyperlink ref="S1616" r:id="rId1965" xr:uid="{00000000-0004-0000-0300-0000AC070000}"/>
    <hyperlink ref="G1617" r:id="rId1966" xr:uid="{00000000-0004-0000-0300-0000AD070000}"/>
    <hyperlink ref="F1619" r:id="rId1967" xr:uid="{00000000-0004-0000-0300-0000AE070000}"/>
    <hyperlink ref="F1620" r:id="rId1968" xr:uid="{00000000-0004-0000-0300-0000AF070000}"/>
    <hyperlink ref="S1620" r:id="rId1969" xr:uid="{00000000-0004-0000-0300-0000B0070000}"/>
    <hyperlink ref="S1621" r:id="rId1970" xr:uid="{00000000-0004-0000-0300-0000B1070000}"/>
    <hyperlink ref="G1622" r:id="rId1971" xr:uid="{00000000-0004-0000-0300-0000B2070000}"/>
    <hyperlink ref="F1624" r:id="rId1972" xr:uid="{00000000-0004-0000-0300-0000B3070000}"/>
    <hyperlink ref="G1624" r:id="rId1973" xr:uid="{00000000-0004-0000-0300-0000B4070000}"/>
    <hyperlink ref="F1625" r:id="rId1974" xr:uid="{00000000-0004-0000-0300-0000B5070000}"/>
    <hyperlink ref="F1627" r:id="rId1975" xr:uid="{00000000-0004-0000-0300-0000B6070000}"/>
    <hyperlink ref="G1627" r:id="rId1976" xr:uid="{00000000-0004-0000-0300-0000B7070000}"/>
    <hyperlink ref="S1627" r:id="rId1977" xr:uid="{00000000-0004-0000-0300-0000B8070000}"/>
    <hyperlink ref="F1628" r:id="rId1978" xr:uid="{00000000-0004-0000-0300-0000B9070000}"/>
    <hyperlink ref="G1628" r:id="rId1979" xr:uid="{00000000-0004-0000-0300-0000BA070000}"/>
    <hyperlink ref="F1629" r:id="rId1980" xr:uid="{00000000-0004-0000-0300-0000BB070000}"/>
    <hyperlink ref="G1630" r:id="rId1981" xr:uid="{00000000-0004-0000-0300-0000BC070000}"/>
    <hyperlink ref="F1631" r:id="rId1982" xr:uid="{00000000-0004-0000-0300-0000BD070000}"/>
    <hyperlink ref="S1631" r:id="rId1983" xr:uid="{00000000-0004-0000-0300-0000BE070000}"/>
    <hyperlink ref="F1633" r:id="rId1984" xr:uid="{00000000-0004-0000-0300-0000BF070000}"/>
    <hyperlink ref="G1634" r:id="rId1985" xr:uid="{00000000-0004-0000-0300-0000C0070000}"/>
    <hyperlink ref="S1634" r:id="rId1986" xr:uid="{00000000-0004-0000-0300-0000C1070000}"/>
    <hyperlink ref="S1635" r:id="rId1987" xr:uid="{00000000-0004-0000-0300-0000C2070000}"/>
    <hyperlink ref="G1636" r:id="rId1988" xr:uid="{00000000-0004-0000-0300-0000C3070000}"/>
    <hyperlink ref="F1637" r:id="rId1989" xr:uid="{00000000-0004-0000-0300-0000C4070000}"/>
    <hyperlink ref="G1638" r:id="rId1990" xr:uid="{00000000-0004-0000-0300-0000C5070000}"/>
    <hyperlink ref="G1639" r:id="rId1991" xr:uid="{00000000-0004-0000-0300-0000C6070000}"/>
    <hyperlink ref="F1640" r:id="rId1992" xr:uid="{00000000-0004-0000-0300-0000C7070000}"/>
    <hyperlink ref="G1640" r:id="rId1993" xr:uid="{00000000-0004-0000-0300-0000C8070000}"/>
    <hyperlink ref="S1640" r:id="rId1994" xr:uid="{00000000-0004-0000-0300-0000C9070000}"/>
    <hyperlink ref="G1641" r:id="rId1995" xr:uid="{00000000-0004-0000-0300-0000CA070000}"/>
    <hyperlink ref="S1641" r:id="rId1996" xr:uid="{00000000-0004-0000-0300-0000CB070000}"/>
    <hyperlink ref="F1642" r:id="rId1997" xr:uid="{00000000-0004-0000-0300-0000CC070000}"/>
    <hyperlink ref="G1642" r:id="rId1998" xr:uid="{00000000-0004-0000-0300-0000CD070000}"/>
    <hyperlink ref="F1643" r:id="rId1999" xr:uid="{00000000-0004-0000-0300-0000CE070000}"/>
    <hyperlink ref="S1643" r:id="rId2000" xr:uid="{00000000-0004-0000-0300-0000CF070000}"/>
    <hyperlink ref="G1645" r:id="rId2001" xr:uid="{00000000-0004-0000-0300-0000D0070000}"/>
    <hyperlink ref="F1646" r:id="rId2002" xr:uid="{00000000-0004-0000-0300-0000D1070000}"/>
    <hyperlink ref="S1646" r:id="rId2003" xr:uid="{00000000-0004-0000-0300-0000D2070000}"/>
    <hyperlink ref="F1647" r:id="rId2004" xr:uid="{00000000-0004-0000-0300-0000D3070000}"/>
    <hyperlink ref="F1649" r:id="rId2005" location=".XAfY2x3b_Dd.twitter" xr:uid="{00000000-0004-0000-0300-0000D4070000}"/>
    <hyperlink ref="S1649" r:id="rId2006" xr:uid="{00000000-0004-0000-0300-0000D5070000}"/>
    <hyperlink ref="F1650" r:id="rId2007" xr:uid="{00000000-0004-0000-0300-0000D6070000}"/>
    <hyperlink ref="S1651" r:id="rId2008" xr:uid="{00000000-0004-0000-0300-0000D7070000}"/>
    <hyperlink ref="S1652" r:id="rId2009" xr:uid="{00000000-0004-0000-0300-0000D8070000}"/>
    <hyperlink ref="F1653" r:id="rId2010" location="click=https://t.co/13Q5TZLCjz" xr:uid="{00000000-0004-0000-0300-0000D9070000}"/>
    <hyperlink ref="G1656" r:id="rId2011" xr:uid="{00000000-0004-0000-0300-0000DA070000}"/>
    <hyperlink ref="S1656" r:id="rId2012" xr:uid="{00000000-0004-0000-0300-0000DB070000}"/>
    <hyperlink ref="F1659" r:id="rId2013" xr:uid="{00000000-0004-0000-0300-0000DC070000}"/>
    <hyperlink ref="F1661" r:id="rId2014" xr:uid="{00000000-0004-0000-0300-0000DD070000}"/>
    <hyperlink ref="G1662" r:id="rId2015" xr:uid="{00000000-0004-0000-0300-0000DE070000}"/>
    <hyperlink ref="S1662" r:id="rId2016" xr:uid="{00000000-0004-0000-0300-0000DF070000}"/>
    <hyperlink ref="F1663" r:id="rId2017" xr:uid="{00000000-0004-0000-0300-0000E0070000}"/>
    <hyperlink ref="G1663" r:id="rId2018" xr:uid="{00000000-0004-0000-0300-0000E1070000}"/>
    <hyperlink ref="G1664" r:id="rId2019" xr:uid="{00000000-0004-0000-0300-0000E2070000}"/>
    <hyperlink ref="S1664" r:id="rId2020" xr:uid="{00000000-0004-0000-0300-0000E3070000}"/>
    <hyperlink ref="F1665" r:id="rId2021" xr:uid="{00000000-0004-0000-0300-0000E4070000}"/>
    <hyperlink ref="G1666" r:id="rId2022" xr:uid="{00000000-0004-0000-0300-0000E5070000}"/>
    <hyperlink ref="G1672" r:id="rId2023" xr:uid="{00000000-0004-0000-0300-0000E6070000}"/>
    <hyperlink ref="G1673" r:id="rId2024" xr:uid="{00000000-0004-0000-0300-0000E7070000}"/>
    <hyperlink ref="G1674" r:id="rId2025" xr:uid="{00000000-0004-0000-0300-0000E8070000}"/>
    <hyperlink ref="S1674" r:id="rId2026" xr:uid="{00000000-0004-0000-0300-0000E9070000}"/>
    <hyperlink ref="F1675" r:id="rId2027" xr:uid="{00000000-0004-0000-0300-0000EA070000}"/>
    <hyperlink ref="S1675" r:id="rId2028" xr:uid="{00000000-0004-0000-0300-0000EB070000}"/>
    <hyperlink ref="F1676" r:id="rId2029" xr:uid="{00000000-0004-0000-0300-0000EC070000}"/>
    <hyperlink ref="G1678" r:id="rId2030" xr:uid="{00000000-0004-0000-0300-0000ED070000}"/>
    <hyperlink ref="S1679" r:id="rId2031" xr:uid="{00000000-0004-0000-0300-0000EE070000}"/>
    <hyperlink ref="F1680" r:id="rId2032" xr:uid="{00000000-0004-0000-0300-0000EF070000}"/>
    <hyperlink ref="S1680" r:id="rId2033" xr:uid="{00000000-0004-0000-0300-0000F0070000}"/>
    <hyperlink ref="F1682" r:id="rId2034" xr:uid="{00000000-0004-0000-0300-0000F1070000}"/>
    <hyperlink ref="G1683" r:id="rId2035" xr:uid="{00000000-0004-0000-0300-0000F2070000}"/>
    <hyperlink ref="S1683" r:id="rId2036" xr:uid="{00000000-0004-0000-0300-0000F3070000}"/>
    <hyperlink ref="G1684" r:id="rId2037" xr:uid="{00000000-0004-0000-0300-0000F4070000}"/>
    <hyperlink ref="F1685" r:id="rId2038" xr:uid="{00000000-0004-0000-0300-0000F5070000}"/>
    <hyperlink ref="S1685" r:id="rId2039" xr:uid="{00000000-0004-0000-0300-0000F6070000}"/>
    <hyperlink ref="G1687" r:id="rId2040" xr:uid="{00000000-0004-0000-0300-0000F7070000}"/>
    <hyperlink ref="G1689" r:id="rId2041" xr:uid="{00000000-0004-0000-0300-0000F8070000}"/>
    <hyperlink ref="F1690" r:id="rId2042" xr:uid="{00000000-0004-0000-0300-0000F9070000}"/>
    <hyperlink ref="G1690" r:id="rId2043" xr:uid="{00000000-0004-0000-0300-0000FA070000}"/>
    <hyperlink ref="F1691" r:id="rId2044" xr:uid="{00000000-0004-0000-0300-0000FB070000}"/>
    <hyperlink ref="F1692" r:id="rId2045" xr:uid="{00000000-0004-0000-0300-0000FC070000}"/>
    <hyperlink ref="F1693" r:id="rId2046" xr:uid="{00000000-0004-0000-0300-0000FD070000}"/>
    <hyperlink ref="S1693" r:id="rId2047" xr:uid="{00000000-0004-0000-0300-0000FE070000}"/>
    <hyperlink ref="G1694" r:id="rId2048" xr:uid="{00000000-0004-0000-0300-0000FF070000}"/>
    <hyperlink ref="S1694" r:id="rId2049" xr:uid="{00000000-0004-0000-0300-000000080000}"/>
    <hyperlink ref="S1695" r:id="rId2050" xr:uid="{00000000-0004-0000-0300-000001080000}"/>
    <hyperlink ref="F1696" r:id="rId2051" location="Echobox=1544015367" xr:uid="{00000000-0004-0000-0300-000002080000}"/>
    <hyperlink ref="S1696" r:id="rId2052" xr:uid="{00000000-0004-0000-0300-000003080000}"/>
    <hyperlink ref="F1697" r:id="rId2053" location="Echobox=1544015335" xr:uid="{00000000-0004-0000-0300-000004080000}"/>
    <hyperlink ref="S1697" r:id="rId2054" xr:uid="{00000000-0004-0000-0300-000005080000}"/>
    <hyperlink ref="F1698" r:id="rId2055" xr:uid="{00000000-0004-0000-0300-000006080000}"/>
    <hyperlink ref="S1698" r:id="rId2056" xr:uid="{00000000-0004-0000-0300-000007080000}"/>
    <hyperlink ref="F1699" r:id="rId2057" xr:uid="{00000000-0004-0000-0300-000008080000}"/>
    <hyperlink ref="S1699" r:id="rId2058" xr:uid="{00000000-0004-0000-0300-000009080000}"/>
    <hyperlink ref="F1701" r:id="rId2059" xr:uid="{00000000-0004-0000-0300-00000A080000}"/>
    <hyperlink ref="S1701" r:id="rId2060" xr:uid="{00000000-0004-0000-0300-00000B080000}"/>
    <hyperlink ref="F1702" r:id="rId2061" xr:uid="{00000000-0004-0000-0300-00000C080000}"/>
    <hyperlink ref="F1703" r:id="rId2062" location=".XAfMG4fbLNI.twitter" xr:uid="{00000000-0004-0000-0300-00000D080000}"/>
    <hyperlink ref="S1703" r:id="rId2063" xr:uid="{00000000-0004-0000-0300-00000E080000}"/>
    <hyperlink ref="G1704" r:id="rId2064" xr:uid="{00000000-0004-0000-0300-00000F080000}"/>
    <hyperlink ref="F1706" r:id="rId2065" xr:uid="{00000000-0004-0000-0300-000010080000}"/>
    <hyperlink ref="G1708" r:id="rId2066" xr:uid="{00000000-0004-0000-0300-000011080000}"/>
    <hyperlink ref="S1708" r:id="rId2067" xr:uid="{00000000-0004-0000-0300-000012080000}"/>
    <hyperlink ref="F1710" r:id="rId2068" xr:uid="{00000000-0004-0000-0300-000013080000}"/>
    <hyperlink ref="S1710" r:id="rId2069" xr:uid="{00000000-0004-0000-0300-000014080000}"/>
    <hyperlink ref="C1711" r:id="rId2070" xr:uid="{00000000-0004-0000-0300-000015080000}"/>
    <hyperlink ref="F1711" r:id="rId2071" xr:uid="{00000000-0004-0000-0300-000016080000}"/>
    <hyperlink ref="S1711" r:id="rId2072" xr:uid="{00000000-0004-0000-0300-000017080000}"/>
    <hyperlink ref="F1712" r:id="rId2073" xr:uid="{00000000-0004-0000-0300-000018080000}"/>
    <hyperlink ref="G1712" r:id="rId2074" xr:uid="{00000000-0004-0000-0300-000019080000}"/>
    <hyperlink ref="S1712" r:id="rId2075" xr:uid="{00000000-0004-0000-0300-00001A080000}"/>
    <hyperlink ref="F1713" r:id="rId2076" xr:uid="{00000000-0004-0000-0300-00001B080000}"/>
    <hyperlink ref="G1713" r:id="rId2077" xr:uid="{00000000-0004-0000-0300-00001C080000}"/>
    <hyperlink ref="G1714" r:id="rId2078" xr:uid="{00000000-0004-0000-0300-00001D080000}"/>
    <hyperlink ref="F1717" r:id="rId2079" xr:uid="{00000000-0004-0000-0300-00001E080000}"/>
    <hyperlink ref="S1718" r:id="rId2080" xr:uid="{00000000-0004-0000-0300-00001F080000}"/>
    <hyperlink ref="F1720" r:id="rId2081" xr:uid="{00000000-0004-0000-0300-000020080000}"/>
    <hyperlink ref="G1720" r:id="rId2082" xr:uid="{00000000-0004-0000-0300-000021080000}"/>
    <hyperlink ref="S1720" r:id="rId2083" xr:uid="{00000000-0004-0000-0300-000022080000}"/>
    <hyperlink ref="G1723" r:id="rId2084" xr:uid="{00000000-0004-0000-0300-000023080000}"/>
    <hyperlink ref="S1723" r:id="rId2085" xr:uid="{00000000-0004-0000-0300-000024080000}"/>
    <hyperlink ref="S1724" r:id="rId2086" xr:uid="{00000000-0004-0000-0300-000025080000}"/>
    <hyperlink ref="S1725" r:id="rId2087" xr:uid="{00000000-0004-0000-0300-000026080000}"/>
    <hyperlink ref="S1726" r:id="rId2088" xr:uid="{00000000-0004-0000-0300-000027080000}"/>
    <hyperlink ref="F1727" r:id="rId2089" xr:uid="{00000000-0004-0000-0300-000028080000}"/>
    <hyperlink ref="S1727" r:id="rId2090" xr:uid="{00000000-0004-0000-0300-000029080000}"/>
    <hyperlink ref="F1729" r:id="rId2091" xr:uid="{00000000-0004-0000-0300-00002A080000}"/>
    <hyperlink ref="S1729" r:id="rId2092" xr:uid="{00000000-0004-0000-0300-00002B080000}"/>
    <hyperlink ref="F1730" r:id="rId2093" xr:uid="{00000000-0004-0000-0300-00002C080000}"/>
    <hyperlink ref="G1730" r:id="rId2094" xr:uid="{00000000-0004-0000-0300-00002D080000}"/>
    <hyperlink ref="S1730" r:id="rId2095" xr:uid="{00000000-0004-0000-0300-00002E080000}"/>
    <hyperlink ref="S1734" r:id="rId2096" xr:uid="{00000000-0004-0000-0300-00002F080000}"/>
    <hyperlink ref="F1735" r:id="rId2097" xr:uid="{00000000-0004-0000-0300-000030080000}"/>
    <hyperlink ref="G1735" r:id="rId2098" xr:uid="{00000000-0004-0000-0300-000031080000}"/>
    <hyperlink ref="S1735" r:id="rId2099" xr:uid="{00000000-0004-0000-0300-000032080000}"/>
    <hyperlink ref="F1739" r:id="rId2100" xr:uid="{00000000-0004-0000-0300-000033080000}"/>
    <hyperlink ref="G1739" r:id="rId2101" xr:uid="{00000000-0004-0000-0300-000034080000}"/>
    <hyperlink ref="F1740" r:id="rId2102" xr:uid="{00000000-0004-0000-0300-000035080000}"/>
    <hyperlink ref="S1740" r:id="rId2103" xr:uid="{00000000-0004-0000-0300-000036080000}"/>
    <hyperlink ref="S1742" r:id="rId2104" xr:uid="{00000000-0004-0000-0300-000037080000}"/>
    <hyperlink ref="F1743" r:id="rId2105" xr:uid="{00000000-0004-0000-0300-000038080000}"/>
    <hyperlink ref="F1745" r:id="rId2106" xr:uid="{00000000-0004-0000-0300-000039080000}"/>
    <hyperlink ref="G1747" r:id="rId2107" xr:uid="{00000000-0004-0000-0300-00003A080000}"/>
    <hyperlink ref="S1747" r:id="rId2108" xr:uid="{00000000-0004-0000-0300-00003B080000}"/>
    <hyperlink ref="S1751" r:id="rId2109" xr:uid="{00000000-0004-0000-0300-00003C080000}"/>
    <hyperlink ref="S1753" r:id="rId2110" xr:uid="{00000000-0004-0000-0300-00003D080000}"/>
    <hyperlink ref="S1754" r:id="rId2111" xr:uid="{00000000-0004-0000-0300-00003E080000}"/>
    <hyperlink ref="S1755" r:id="rId2112" xr:uid="{00000000-0004-0000-0300-00003F080000}"/>
    <hyperlink ref="S1756" r:id="rId2113" xr:uid="{00000000-0004-0000-0300-000040080000}"/>
    <hyperlink ref="S1757" r:id="rId2114" xr:uid="{00000000-0004-0000-0300-000041080000}"/>
    <hyperlink ref="F1759" r:id="rId2115" xr:uid="{00000000-0004-0000-0300-000042080000}"/>
    <hyperlink ref="F1760" r:id="rId2116" xr:uid="{00000000-0004-0000-0300-000043080000}"/>
    <hyperlink ref="S1760" r:id="rId2117" xr:uid="{00000000-0004-0000-0300-000044080000}"/>
    <hyperlink ref="F1761" r:id="rId2118" xr:uid="{00000000-0004-0000-0300-000045080000}"/>
    <hyperlink ref="S1761" r:id="rId2119" xr:uid="{00000000-0004-0000-0300-000046080000}"/>
    <hyperlink ref="F1762" r:id="rId2120" xr:uid="{00000000-0004-0000-0300-000047080000}"/>
    <hyperlink ref="S1762" r:id="rId2121" xr:uid="{00000000-0004-0000-0300-000048080000}"/>
    <hyperlink ref="F1763" r:id="rId2122" xr:uid="{00000000-0004-0000-0300-000049080000}"/>
    <hyperlink ref="F1767" r:id="rId2123" xr:uid="{00000000-0004-0000-0300-00004A080000}"/>
    <hyperlink ref="G1767" r:id="rId2124" xr:uid="{00000000-0004-0000-0300-00004B080000}"/>
    <hyperlink ref="S1767" r:id="rId2125" xr:uid="{00000000-0004-0000-0300-00004C080000}"/>
    <hyperlink ref="F1768" r:id="rId2126" xr:uid="{00000000-0004-0000-0300-00004D080000}"/>
    <hyperlink ref="F1769" r:id="rId2127" xr:uid="{00000000-0004-0000-0300-00004E080000}"/>
    <hyperlink ref="F1770" r:id="rId2128" xr:uid="{00000000-0004-0000-0300-00004F080000}"/>
    <hyperlink ref="S1770" r:id="rId2129" xr:uid="{00000000-0004-0000-0300-000050080000}"/>
    <hyperlink ref="F1773" r:id="rId2130" xr:uid="{00000000-0004-0000-0300-000051080000}"/>
    <hyperlink ref="C1774" r:id="rId2131" xr:uid="{00000000-0004-0000-0300-000052080000}"/>
    <hyperlink ref="F1774" r:id="rId2132" xr:uid="{00000000-0004-0000-0300-000053080000}"/>
    <hyperlink ref="S1774" r:id="rId2133" xr:uid="{00000000-0004-0000-0300-000054080000}"/>
    <hyperlink ref="F1776" r:id="rId2134" xr:uid="{00000000-0004-0000-0300-000055080000}"/>
    <hyperlink ref="S1776" r:id="rId2135" xr:uid="{00000000-0004-0000-0300-000056080000}"/>
    <hyperlink ref="F1777" r:id="rId2136" xr:uid="{00000000-0004-0000-0300-000057080000}"/>
    <hyperlink ref="F1778" r:id="rId2137" xr:uid="{00000000-0004-0000-0300-000058080000}"/>
    <hyperlink ref="F1779" r:id="rId2138" xr:uid="{00000000-0004-0000-0300-000059080000}"/>
    <hyperlink ref="S1780" r:id="rId2139" xr:uid="{00000000-0004-0000-0300-00005A080000}"/>
    <hyperlink ref="G1781" r:id="rId2140" xr:uid="{00000000-0004-0000-0300-00005B080000}"/>
    <hyperlink ref="S1781" r:id="rId2141" xr:uid="{00000000-0004-0000-0300-00005C080000}"/>
    <hyperlink ref="F1782" r:id="rId2142" xr:uid="{00000000-0004-0000-0300-00005D080000}"/>
    <hyperlink ref="F1783" r:id="rId2143" xr:uid="{00000000-0004-0000-0300-00005E080000}"/>
    <hyperlink ref="S1783" r:id="rId2144" xr:uid="{00000000-0004-0000-0300-00005F080000}"/>
    <hyperlink ref="F1784" r:id="rId2145" location=".XAe0Gdxa7Ro.twitter" xr:uid="{00000000-0004-0000-0300-000060080000}"/>
    <hyperlink ref="S1784" r:id="rId2146" xr:uid="{00000000-0004-0000-0300-000061080000}"/>
    <hyperlink ref="F1785" r:id="rId2147" xr:uid="{00000000-0004-0000-0300-000062080000}"/>
    <hyperlink ref="G1785" r:id="rId2148" xr:uid="{00000000-0004-0000-0300-000063080000}"/>
    <hyperlink ref="S1785" r:id="rId2149" xr:uid="{00000000-0004-0000-0300-000064080000}"/>
    <hyperlink ref="F1786" r:id="rId2150" xr:uid="{00000000-0004-0000-0300-000065080000}"/>
    <hyperlink ref="F1787" r:id="rId2151" xr:uid="{00000000-0004-0000-0300-000066080000}"/>
    <hyperlink ref="G1787" r:id="rId2152" xr:uid="{00000000-0004-0000-0300-000067080000}"/>
    <hyperlink ref="S1787" r:id="rId2153" xr:uid="{00000000-0004-0000-0300-000068080000}"/>
    <hyperlink ref="F1789" r:id="rId2154" xr:uid="{00000000-0004-0000-0300-000069080000}"/>
    <hyperlink ref="G1789" r:id="rId2155" xr:uid="{00000000-0004-0000-0300-00006A080000}"/>
    <hyperlink ref="G1791" r:id="rId2156" xr:uid="{00000000-0004-0000-0300-00006B080000}"/>
    <hyperlink ref="S1791" r:id="rId2157" xr:uid="{00000000-0004-0000-0300-00006C080000}"/>
    <hyperlink ref="S1794" r:id="rId2158" xr:uid="{00000000-0004-0000-0300-00006D080000}"/>
    <hyperlink ref="F1795" r:id="rId2159" xr:uid="{00000000-0004-0000-0300-00006E080000}"/>
    <hyperlink ref="F1796" r:id="rId2160" xr:uid="{00000000-0004-0000-0300-00006F080000}"/>
    <hyperlink ref="S1796" r:id="rId2161" xr:uid="{00000000-0004-0000-0300-000070080000}"/>
    <hyperlink ref="F1797" r:id="rId2162" xr:uid="{00000000-0004-0000-0300-000071080000}"/>
    <hyperlink ref="S1797" r:id="rId2163" xr:uid="{00000000-0004-0000-0300-000072080000}"/>
    <hyperlink ref="F1799" r:id="rId2164" location="xtor=AD-15&amp;xts=467263#xtor=AD-15&amp;xts=467263" xr:uid="{00000000-0004-0000-0300-000073080000}"/>
    <hyperlink ref="G1799" r:id="rId2165" xr:uid="{00000000-0004-0000-0300-000074080000}"/>
    <hyperlink ref="S1799" r:id="rId2166" xr:uid="{00000000-0004-0000-0300-000075080000}"/>
    <hyperlink ref="F1800" r:id="rId2167" xr:uid="{00000000-0004-0000-0300-000076080000}"/>
    <hyperlink ref="S1800" r:id="rId2168" xr:uid="{00000000-0004-0000-0300-000077080000}"/>
    <hyperlink ref="F1801" r:id="rId2169" xr:uid="{00000000-0004-0000-0300-000078080000}"/>
    <hyperlink ref="F1802" r:id="rId2170" xr:uid="{00000000-0004-0000-0300-000079080000}"/>
    <hyperlink ref="F1803" r:id="rId2171" xr:uid="{00000000-0004-0000-0300-00007A080000}"/>
    <hyperlink ref="S1803" r:id="rId2172" xr:uid="{00000000-0004-0000-0300-00007B080000}"/>
    <hyperlink ref="F1804" r:id="rId2173" xr:uid="{00000000-0004-0000-0300-00007C080000}"/>
    <hyperlink ref="S1804" r:id="rId2174" xr:uid="{00000000-0004-0000-0300-00007D080000}"/>
    <hyperlink ref="F1806" r:id="rId2175" location="xtor=AD-15&amp;xts=467263" xr:uid="{00000000-0004-0000-0300-00007E080000}"/>
    <hyperlink ref="G1806" r:id="rId2176" xr:uid="{00000000-0004-0000-0300-00007F080000}"/>
    <hyperlink ref="S1806" r:id="rId2177" xr:uid="{00000000-0004-0000-0300-000080080000}"/>
    <hyperlink ref="G1807" r:id="rId2178" xr:uid="{00000000-0004-0000-0300-000081080000}"/>
    <hyperlink ref="F1808" r:id="rId2179" xr:uid="{00000000-0004-0000-0300-000082080000}"/>
    <hyperlink ref="F1810" r:id="rId2180" xr:uid="{00000000-0004-0000-0300-000083080000}"/>
    <hyperlink ref="F1811" r:id="rId2181" xr:uid="{00000000-0004-0000-0300-000084080000}"/>
    <hyperlink ref="F1812" r:id="rId2182" xr:uid="{00000000-0004-0000-0300-000085080000}"/>
    <hyperlink ref="S1812" r:id="rId2183" xr:uid="{00000000-0004-0000-0300-000086080000}"/>
    <hyperlink ref="S1815" r:id="rId2184" xr:uid="{00000000-0004-0000-0300-000087080000}"/>
    <hyperlink ref="F1816" r:id="rId2185" xr:uid="{00000000-0004-0000-0300-000088080000}"/>
    <hyperlink ref="G1816" r:id="rId2186" xr:uid="{00000000-0004-0000-0300-000089080000}"/>
    <hyperlink ref="S1819" r:id="rId2187" xr:uid="{00000000-0004-0000-0300-00008A080000}"/>
    <hyperlink ref="F1820" r:id="rId2188" xr:uid="{00000000-0004-0000-0300-00008B080000}"/>
    <hyperlink ref="G1822" r:id="rId2189" xr:uid="{00000000-0004-0000-0300-00008C080000}"/>
    <hyperlink ref="F1823" r:id="rId2190" location=".XAemfYlOYCs.twitter" xr:uid="{00000000-0004-0000-0300-00008D080000}"/>
    <hyperlink ref="S1823" r:id="rId2191" xr:uid="{00000000-0004-0000-0300-00008E080000}"/>
    <hyperlink ref="F1824" r:id="rId2192" xr:uid="{00000000-0004-0000-0300-00008F080000}"/>
    <hyperlink ref="S1824" r:id="rId2193" xr:uid="{00000000-0004-0000-0300-000090080000}"/>
    <hyperlink ref="G1825" r:id="rId2194" xr:uid="{00000000-0004-0000-0300-000091080000}"/>
    <hyperlink ref="S1825" r:id="rId2195" xr:uid="{00000000-0004-0000-0300-000092080000}"/>
    <hyperlink ref="F1826" r:id="rId2196" xr:uid="{00000000-0004-0000-0300-000093080000}"/>
    <hyperlink ref="G1826" r:id="rId2197" xr:uid="{00000000-0004-0000-0300-000094080000}"/>
    <hyperlink ref="S1826" r:id="rId2198" xr:uid="{00000000-0004-0000-0300-000095080000}"/>
    <hyperlink ref="F1827" r:id="rId2199" xr:uid="{00000000-0004-0000-0300-000096080000}"/>
    <hyperlink ref="G1827" r:id="rId2200" xr:uid="{00000000-0004-0000-0300-000097080000}"/>
    <hyperlink ref="S1827" r:id="rId2201" xr:uid="{00000000-0004-0000-0300-000098080000}"/>
    <hyperlink ref="F1828" r:id="rId2202" xr:uid="{00000000-0004-0000-0300-000099080000}"/>
    <hyperlink ref="F1830" r:id="rId2203" xr:uid="{00000000-0004-0000-0300-00009A080000}"/>
    <hyperlink ref="F1831" r:id="rId2204" xr:uid="{00000000-0004-0000-0300-00009B080000}"/>
    <hyperlink ref="G1831" r:id="rId2205" xr:uid="{00000000-0004-0000-0300-00009C080000}"/>
    <hyperlink ref="S1831" r:id="rId2206" xr:uid="{00000000-0004-0000-0300-00009D080000}"/>
    <hyperlink ref="G1832" r:id="rId2207" xr:uid="{00000000-0004-0000-0300-00009E080000}"/>
    <hyperlink ref="F1833" r:id="rId2208" xr:uid="{00000000-0004-0000-0300-00009F080000}"/>
    <hyperlink ref="G1833" r:id="rId2209" xr:uid="{00000000-0004-0000-0300-0000A0080000}"/>
    <hyperlink ref="S1833" r:id="rId2210" xr:uid="{00000000-0004-0000-0300-0000A1080000}"/>
    <hyperlink ref="F1834" r:id="rId2211" xr:uid="{00000000-0004-0000-0300-0000A2080000}"/>
    <hyperlink ref="G1835" r:id="rId2212" xr:uid="{00000000-0004-0000-0300-0000A3080000}"/>
    <hyperlink ref="S1835" r:id="rId2213" xr:uid="{00000000-0004-0000-0300-0000A4080000}"/>
    <hyperlink ref="S1838" r:id="rId2214" xr:uid="{00000000-0004-0000-0300-0000A5080000}"/>
    <hyperlink ref="G1839" r:id="rId2215" xr:uid="{00000000-0004-0000-0300-0000A6080000}"/>
    <hyperlink ref="S1839" r:id="rId2216" xr:uid="{00000000-0004-0000-0300-0000A7080000}"/>
    <hyperlink ref="F1840" r:id="rId2217" xr:uid="{00000000-0004-0000-0300-0000A8080000}"/>
    <hyperlink ref="S1840" r:id="rId2218" xr:uid="{00000000-0004-0000-0300-0000A9080000}"/>
    <hyperlink ref="G1841" r:id="rId2219" xr:uid="{00000000-0004-0000-0300-0000AA080000}"/>
    <hyperlink ref="F1842" r:id="rId2220" xr:uid="{00000000-0004-0000-0300-0000AB080000}"/>
    <hyperlink ref="S1842" r:id="rId2221" xr:uid="{00000000-0004-0000-0300-0000AC080000}"/>
    <hyperlink ref="F1844" r:id="rId2222" xr:uid="{00000000-0004-0000-0300-0000AD080000}"/>
    <hyperlink ref="S1844" r:id="rId2223" xr:uid="{00000000-0004-0000-0300-0000AE080000}"/>
    <hyperlink ref="F1845" r:id="rId2224" xr:uid="{00000000-0004-0000-0300-0000AF080000}"/>
    <hyperlink ref="F1846" r:id="rId2225" xr:uid="{00000000-0004-0000-0300-0000B0080000}"/>
    <hyperlink ref="G1846" r:id="rId2226" xr:uid="{00000000-0004-0000-0300-0000B1080000}"/>
    <hyperlink ref="S1846" r:id="rId2227" xr:uid="{00000000-0004-0000-0300-0000B2080000}"/>
    <hyperlink ref="F1847" r:id="rId2228" xr:uid="{00000000-0004-0000-0300-0000B3080000}"/>
    <hyperlink ref="S1847" r:id="rId2229" xr:uid="{00000000-0004-0000-0300-0000B4080000}"/>
    <hyperlink ref="F1849" r:id="rId2230" xr:uid="{00000000-0004-0000-0300-0000B5080000}"/>
    <hyperlink ref="G1849" r:id="rId2231" xr:uid="{00000000-0004-0000-0300-0000B6080000}"/>
    <hyperlink ref="S1851" r:id="rId2232" xr:uid="{00000000-0004-0000-0300-0000B7080000}"/>
    <hyperlink ref="S1852" r:id="rId2233" xr:uid="{00000000-0004-0000-0300-0000B8080000}"/>
    <hyperlink ref="S1854" r:id="rId2234" xr:uid="{00000000-0004-0000-0300-0000B9080000}"/>
    <hyperlink ref="F1856" r:id="rId2235" xr:uid="{00000000-0004-0000-0300-0000BA080000}"/>
    <hyperlink ref="G1856" r:id="rId2236" xr:uid="{00000000-0004-0000-0300-0000BB080000}"/>
    <hyperlink ref="S1856" r:id="rId2237" xr:uid="{00000000-0004-0000-0300-0000BC080000}"/>
    <hyperlink ref="F1857" r:id="rId2238" xr:uid="{00000000-0004-0000-0300-0000BD080000}"/>
    <hyperlink ref="S1857" r:id="rId2239" xr:uid="{00000000-0004-0000-0300-0000BE080000}"/>
    <hyperlink ref="F1859" r:id="rId2240" xr:uid="{00000000-0004-0000-0300-0000BF080000}"/>
    <hyperlink ref="G1860" r:id="rId2241" xr:uid="{00000000-0004-0000-0300-0000C0080000}"/>
    <hyperlink ref="G1861" r:id="rId2242" xr:uid="{00000000-0004-0000-0300-0000C1080000}"/>
    <hyperlink ref="F1862" r:id="rId2243" xr:uid="{00000000-0004-0000-0300-0000C2080000}"/>
    <hyperlink ref="G1862" r:id="rId2244" xr:uid="{00000000-0004-0000-0300-0000C3080000}"/>
    <hyperlink ref="F1863" r:id="rId2245" xr:uid="{00000000-0004-0000-0300-0000C4080000}"/>
    <hyperlink ref="G1863" r:id="rId2246" xr:uid="{00000000-0004-0000-0300-0000C5080000}"/>
    <hyperlink ref="F1864" r:id="rId2247" xr:uid="{00000000-0004-0000-0300-0000C6080000}"/>
    <hyperlink ref="F1865" r:id="rId2248" xr:uid="{00000000-0004-0000-0300-0000C7080000}"/>
    <hyperlink ref="S1865" r:id="rId2249" xr:uid="{00000000-0004-0000-0300-0000C8080000}"/>
    <hyperlink ref="S1866" r:id="rId2250" xr:uid="{00000000-0004-0000-0300-0000C9080000}"/>
    <hyperlink ref="F1867" r:id="rId2251" xr:uid="{00000000-0004-0000-0300-0000CA080000}"/>
    <hyperlink ref="F1869" r:id="rId2252" xr:uid="{00000000-0004-0000-0300-0000CB080000}"/>
    <hyperlink ref="S1869" r:id="rId2253" xr:uid="{00000000-0004-0000-0300-0000CC080000}"/>
    <hyperlink ref="F1870" r:id="rId2254" xr:uid="{00000000-0004-0000-0300-0000CD080000}"/>
    <hyperlink ref="F1872" r:id="rId2255" xr:uid="{00000000-0004-0000-0300-0000CE080000}"/>
    <hyperlink ref="G1873" r:id="rId2256" xr:uid="{00000000-0004-0000-0300-0000CF080000}"/>
    <hyperlink ref="S1873" r:id="rId2257" xr:uid="{00000000-0004-0000-0300-0000D0080000}"/>
    <hyperlink ref="G1874" r:id="rId2258" xr:uid="{00000000-0004-0000-0300-0000D1080000}"/>
    <hyperlink ref="F1875" r:id="rId2259" xr:uid="{00000000-0004-0000-0300-0000D2080000}"/>
    <hyperlink ref="F1878" r:id="rId2260" location="xtor=AD-15&amp;xts=467263#xtor=AD-15&amp;xts=467263" xr:uid="{00000000-0004-0000-0300-0000D3080000}"/>
    <hyperlink ref="G1878" r:id="rId2261" xr:uid="{00000000-0004-0000-0300-0000D4080000}"/>
    <hyperlink ref="S1878" r:id="rId2262" xr:uid="{00000000-0004-0000-0300-0000D5080000}"/>
    <hyperlink ref="S1879" r:id="rId2263" xr:uid="{00000000-0004-0000-0300-0000D6080000}"/>
    <hyperlink ref="F1880" r:id="rId2264" location="xtor=AD-15&amp;xts=467263" xr:uid="{00000000-0004-0000-0300-0000D7080000}"/>
    <hyperlink ref="G1880" r:id="rId2265" xr:uid="{00000000-0004-0000-0300-0000D8080000}"/>
    <hyperlink ref="S1880" r:id="rId2266" xr:uid="{00000000-0004-0000-0300-0000D9080000}"/>
    <hyperlink ref="F1881" r:id="rId2267" xr:uid="{00000000-0004-0000-0300-0000DA080000}"/>
    <hyperlink ref="F1882" r:id="rId2268" xr:uid="{00000000-0004-0000-0300-0000DB080000}"/>
    <hyperlink ref="G1883" r:id="rId2269" xr:uid="{00000000-0004-0000-0300-0000DC080000}"/>
    <hyperlink ref="S1883" r:id="rId2270" xr:uid="{00000000-0004-0000-0300-0000DD080000}"/>
    <hyperlink ref="F1887" r:id="rId2271" xr:uid="{00000000-0004-0000-0300-0000DE080000}"/>
    <hyperlink ref="S1887" r:id="rId2272" xr:uid="{00000000-0004-0000-0300-0000DF080000}"/>
    <hyperlink ref="S1888" r:id="rId2273" xr:uid="{00000000-0004-0000-0300-0000E0080000}"/>
    <hyperlink ref="G1889" r:id="rId2274" xr:uid="{00000000-0004-0000-0300-0000E1080000}"/>
    <hyperlink ref="G1891" r:id="rId2275" xr:uid="{00000000-0004-0000-0300-0000E2080000}"/>
    <hyperlink ref="F1892" r:id="rId2276" xr:uid="{00000000-0004-0000-0300-0000E3080000}"/>
    <hyperlink ref="S1892" r:id="rId2277" xr:uid="{00000000-0004-0000-0300-0000E4080000}"/>
    <hyperlink ref="F1893" r:id="rId2278" xr:uid="{00000000-0004-0000-0300-0000E5080000}"/>
    <hyperlink ref="F1895" r:id="rId2279" xr:uid="{00000000-0004-0000-0300-0000E6080000}"/>
    <hyperlink ref="F1896" r:id="rId2280" xr:uid="{00000000-0004-0000-0300-0000E7080000}"/>
    <hyperlink ref="R1896" r:id="rId2281" xr:uid="{00000000-0004-0000-0300-0000E8080000}"/>
    <hyperlink ref="S1898" r:id="rId2282" xr:uid="{00000000-0004-0000-0300-0000E9080000}"/>
    <hyperlink ref="S1899" r:id="rId2283" xr:uid="{00000000-0004-0000-0300-0000EA080000}"/>
    <hyperlink ref="G1900" r:id="rId2284" xr:uid="{00000000-0004-0000-0300-0000EB080000}"/>
    <hyperlink ref="S1900" r:id="rId2285" xr:uid="{00000000-0004-0000-0300-0000EC080000}"/>
    <hyperlink ref="S1901" r:id="rId2286" xr:uid="{00000000-0004-0000-0300-0000ED080000}"/>
    <hyperlink ref="F1903" r:id="rId2287" xr:uid="{00000000-0004-0000-0300-0000EE080000}"/>
    <hyperlink ref="S1903" r:id="rId2288" xr:uid="{00000000-0004-0000-0300-0000EF080000}"/>
    <hyperlink ref="F1904" r:id="rId2289" xr:uid="{00000000-0004-0000-0300-0000F0080000}"/>
    <hyperlink ref="S1905" r:id="rId2290" xr:uid="{00000000-0004-0000-0300-0000F1080000}"/>
    <hyperlink ref="F1906" r:id="rId2291" xr:uid="{00000000-0004-0000-0300-0000F2080000}"/>
    <hyperlink ref="G1906" r:id="rId2292" xr:uid="{00000000-0004-0000-0300-0000F3080000}"/>
    <hyperlink ref="G1907" r:id="rId2293" xr:uid="{00000000-0004-0000-0300-0000F4080000}"/>
    <hyperlink ref="S1907" r:id="rId2294" xr:uid="{00000000-0004-0000-0300-0000F5080000}"/>
    <hyperlink ref="F1908" r:id="rId2295" xr:uid="{00000000-0004-0000-0300-0000F6080000}"/>
    <hyperlink ref="S1909" r:id="rId2296" xr:uid="{00000000-0004-0000-0300-0000F7080000}"/>
    <hyperlink ref="G1910" r:id="rId2297" xr:uid="{00000000-0004-0000-0300-0000F8080000}"/>
    <hyperlink ref="F1911" r:id="rId2298" xr:uid="{00000000-0004-0000-0300-0000F9080000}"/>
    <hyperlink ref="G1911" r:id="rId2299" xr:uid="{00000000-0004-0000-0300-0000FA080000}"/>
    <hyperlink ref="F1912" r:id="rId2300" xr:uid="{00000000-0004-0000-0300-0000FB080000}"/>
    <hyperlink ref="G1912" r:id="rId2301" xr:uid="{00000000-0004-0000-0300-0000FC080000}"/>
    <hyperlink ref="F1913" r:id="rId2302" xr:uid="{00000000-0004-0000-0300-0000FD080000}"/>
    <hyperlink ref="S1914" r:id="rId2303" xr:uid="{00000000-0004-0000-0300-0000FE080000}"/>
    <hyperlink ref="F1915" r:id="rId2304" xr:uid="{00000000-0004-0000-0300-0000FF080000}"/>
    <hyperlink ref="S1917" r:id="rId2305" xr:uid="{00000000-0004-0000-0300-000000090000}"/>
    <hyperlink ref="F1918" r:id="rId2306" xr:uid="{00000000-0004-0000-0300-000001090000}"/>
    <hyperlink ref="F1919" r:id="rId2307" xr:uid="{00000000-0004-0000-0300-000002090000}"/>
    <hyperlink ref="G1919" r:id="rId2308" xr:uid="{00000000-0004-0000-0300-000003090000}"/>
    <hyperlink ref="F1920" r:id="rId2309" xr:uid="{00000000-0004-0000-0300-000004090000}"/>
    <hyperlink ref="G1920" r:id="rId2310" xr:uid="{00000000-0004-0000-0300-000005090000}"/>
    <hyperlink ref="S1920" r:id="rId2311" xr:uid="{00000000-0004-0000-0300-000006090000}"/>
    <hyperlink ref="F1922" r:id="rId2312" xr:uid="{00000000-0004-0000-0300-000007090000}"/>
    <hyperlink ref="G1925" r:id="rId2313" xr:uid="{00000000-0004-0000-0300-000008090000}"/>
    <hyperlink ref="S1925" r:id="rId2314" xr:uid="{00000000-0004-0000-0300-000009090000}"/>
    <hyperlink ref="G1927" r:id="rId2315" xr:uid="{00000000-0004-0000-0300-00000A090000}"/>
    <hyperlink ref="S1927" r:id="rId2316" xr:uid="{00000000-0004-0000-0300-00000B090000}"/>
    <hyperlink ref="C1928" r:id="rId2317" xr:uid="{00000000-0004-0000-0300-00000C090000}"/>
    <hyperlink ref="G1928" r:id="rId2318" xr:uid="{00000000-0004-0000-0300-00000D090000}"/>
    <hyperlink ref="S1928" r:id="rId2319" xr:uid="{00000000-0004-0000-0300-00000E090000}"/>
    <hyperlink ref="G1929" r:id="rId2320" xr:uid="{00000000-0004-0000-0300-00000F090000}"/>
    <hyperlink ref="F1930" r:id="rId2321" xr:uid="{00000000-0004-0000-0300-000010090000}"/>
    <hyperlink ref="G1930" r:id="rId2322" xr:uid="{00000000-0004-0000-0300-000011090000}"/>
    <hyperlink ref="S1930" r:id="rId2323" xr:uid="{00000000-0004-0000-0300-000012090000}"/>
    <hyperlink ref="F1933" r:id="rId2324" xr:uid="{00000000-0004-0000-0300-000013090000}"/>
    <hyperlink ref="G1934" r:id="rId2325" xr:uid="{00000000-0004-0000-0300-000014090000}"/>
    <hyperlink ref="F1935" r:id="rId2326" xr:uid="{00000000-0004-0000-0300-000015090000}"/>
    <hyperlink ref="S1935" r:id="rId2327" xr:uid="{00000000-0004-0000-0300-000016090000}"/>
    <hyperlink ref="G1936" r:id="rId2328" xr:uid="{00000000-0004-0000-0300-000017090000}"/>
    <hyperlink ref="F1937" r:id="rId2329" xr:uid="{00000000-0004-0000-0300-000018090000}"/>
    <hyperlink ref="F1940" r:id="rId2330" xr:uid="{00000000-0004-0000-0300-000019090000}"/>
    <hyperlink ref="G1940" r:id="rId2331" xr:uid="{00000000-0004-0000-0300-00001A090000}"/>
    <hyperlink ref="F1941" r:id="rId2332" xr:uid="{00000000-0004-0000-0300-00001B090000}"/>
    <hyperlink ref="G1942" r:id="rId2333" xr:uid="{00000000-0004-0000-0300-00001C090000}"/>
    <hyperlink ref="S1942" r:id="rId2334" xr:uid="{00000000-0004-0000-0300-00001D090000}"/>
    <hyperlink ref="S1943" r:id="rId2335" xr:uid="{00000000-0004-0000-0300-00001E090000}"/>
    <hyperlink ref="F1946" r:id="rId2336" xr:uid="{00000000-0004-0000-0300-00001F090000}"/>
    <hyperlink ref="S1946" r:id="rId2337" xr:uid="{00000000-0004-0000-0300-000020090000}"/>
    <hyperlink ref="G1949" r:id="rId2338" xr:uid="{00000000-0004-0000-0300-000021090000}"/>
    <hyperlink ref="F1950" r:id="rId2339" xr:uid="{00000000-0004-0000-0300-000022090000}"/>
    <hyperlink ref="F1951" r:id="rId2340" xr:uid="{00000000-0004-0000-0300-000023090000}"/>
    <hyperlink ref="G1951" r:id="rId2341" xr:uid="{00000000-0004-0000-0300-000024090000}"/>
    <hyperlink ref="S1951" r:id="rId2342" xr:uid="{00000000-0004-0000-0300-000025090000}"/>
    <hyperlink ref="F1952" r:id="rId2343" xr:uid="{00000000-0004-0000-0300-000026090000}"/>
    <hyperlink ref="G1952" r:id="rId2344" xr:uid="{00000000-0004-0000-0300-000027090000}"/>
    <hyperlink ref="S1952" r:id="rId2345" xr:uid="{00000000-0004-0000-0300-000028090000}"/>
    <hyperlink ref="F1953" r:id="rId2346" xr:uid="{00000000-0004-0000-0300-000029090000}"/>
    <hyperlink ref="G1953" r:id="rId2347" xr:uid="{00000000-0004-0000-0300-00002A090000}"/>
    <hyperlink ref="F1954" r:id="rId2348" xr:uid="{00000000-0004-0000-0300-00002B090000}"/>
    <hyperlink ref="F1956" r:id="rId2349" location=".XAdmjoBkH3o.twitter" xr:uid="{00000000-0004-0000-0300-00002C090000}"/>
    <hyperlink ref="S1956" r:id="rId2350" xr:uid="{00000000-0004-0000-0300-00002D090000}"/>
    <hyperlink ref="F1958" r:id="rId2351" xr:uid="{00000000-0004-0000-0300-00002E090000}"/>
    <hyperlink ref="G1958" r:id="rId2352" xr:uid="{00000000-0004-0000-0300-00002F090000}"/>
    <hyperlink ref="S1958" r:id="rId2353" xr:uid="{00000000-0004-0000-0300-000030090000}"/>
    <hyperlink ref="C1959" r:id="rId2354" xr:uid="{00000000-0004-0000-0300-000031090000}"/>
    <hyperlink ref="F1959" r:id="rId2355" xr:uid="{00000000-0004-0000-0300-000032090000}"/>
    <hyperlink ref="G1959" r:id="rId2356" xr:uid="{00000000-0004-0000-0300-000033090000}"/>
    <hyperlink ref="S1959" r:id="rId2357" xr:uid="{00000000-0004-0000-0300-000034090000}"/>
    <hyperlink ref="S1960" r:id="rId2358" xr:uid="{00000000-0004-0000-0300-000035090000}"/>
    <hyperlink ref="F1961" r:id="rId2359" xr:uid="{00000000-0004-0000-0300-000036090000}"/>
    <hyperlink ref="G1962" r:id="rId2360" xr:uid="{00000000-0004-0000-0300-000037090000}"/>
    <hyperlink ref="F1963" r:id="rId2361" xr:uid="{00000000-0004-0000-0300-000038090000}"/>
    <hyperlink ref="F1964" r:id="rId2362" xr:uid="{00000000-0004-0000-0300-000039090000}"/>
    <hyperlink ref="S1966" r:id="rId2363" xr:uid="{00000000-0004-0000-0300-00003A090000}"/>
    <hyperlink ref="S1968" r:id="rId2364" xr:uid="{00000000-0004-0000-0300-00003B090000}"/>
    <hyperlink ref="G1969" r:id="rId2365" xr:uid="{00000000-0004-0000-0300-00003C090000}"/>
    <hyperlink ref="S1970" r:id="rId2366" xr:uid="{00000000-0004-0000-0300-00003D090000}"/>
    <hyperlink ref="G1971" r:id="rId2367" xr:uid="{00000000-0004-0000-0300-00003E090000}"/>
    <hyperlink ref="F1973" r:id="rId2368" xr:uid="{00000000-0004-0000-0300-00003F090000}"/>
    <hyperlink ref="S1973" r:id="rId2369" xr:uid="{00000000-0004-0000-0300-000040090000}"/>
    <hyperlink ref="S1974" r:id="rId2370" xr:uid="{00000000-0004-0000-0300-000041090000}"/>
    <hyperlink ref="S1977" r:id="rId2371" xr:uid="{00000000-0004-0000-0300-000042090000}"/>
    <hyperlink ref="G1979" r:id="rId2372" xr:uid="{00000000-0004-0000-0300-000043090000}"/>
    <hyperlink ref="F1980" r:id="rId2373" xr:uid="{00000000-0004-0000-0300-000044090000}"/>
    <hyperlink ref="F1981" r:id="rId2374" xr:uid="{00000000-0004-0000-0300-000045090000}"/>
    <hyperlink ref="F1982" r:id="rId2375" xr:uid="{00000000-0004-0000-0300-000046090000}"/>
    <hyperlink ref="F1984" r:id="rId2376" xr:uid="{00000000-0004-0000-0300-000047090000}"/>
    <hyperlink ref="G1985" r:id="rId2377" xr:uid="{00000000-0004-0000-0300-000048090000}"/>
    <hyperlink ref="S1986" r:id="rId2378" xr:uid="{00000000-0004-0000-0300-000049090000}"/>
    <hyperlink ref="S1988" r:id="rId2379" xr:uid="{00000000-0004-0000-0300-00004A090000}"/>
    <hyperlink ref="F1989" r:id="rId2380" xr:uid="{00000000-0004-0000-0300-00004B090000}"/>
    <hyperlink ref="F1991" r:id="rId2381" xr:uid="{00000000-0004-0000-0300-00004C090000}"/>
    <hyperlink ref="F1992" r:id="rId2382" xr:uid="{00000000-0004-0000-0300-00004D090000}"/>
    <hyperlink ref="S1992" r:id="rId2383" xr:uid="{00000000-0004-0000-0300-00004E090000}"/>
    <hyperlink ref="S1993" r:id="rId2384" xr:uid="{00000000-0004-0000-0300-00004F090000}"/>
    <hyperlink ref="F1994" r:id="rId2385" xr:uid="{00000000-0004-0000-0300-000050090000}"/>
    <hyperlink ref="S1994" r:id="rId2386" xr:uid="{00000000-0004-0000-0300-000051090000}"/>
    <hyperlink ref="G1995" r:id="rId2387" xr:uid="{00000000-0004-0000-0300-000052090000}"/>
    <hyperlink ref="S1995" r:id="rId2388" xr:uid="{00000000-0004-0000-0300-000053090000}"/>
    <hyperlink ref="F1996" r:id="rId2389" xr:uid="{00000000-0004-0000-0300-000054090000}"/>
    <hyperlink ref="C1997" r:id="rId2390" xr:uid="{00000000-0004-0000-0300-000055090000}"/>
    <hyperlink ref="G1997" r:id="rId2391" xr:uid="{00000000-0004-0000-0300-000056090000}"/>
    <hyperlink ref="S1997" r:id="rId2392" xr:uid="{00000000-0004-0000-0300-000057090000}"/>
    <hyperlink ref="F1998" r:id="rId2393" xr:uid="{00000000-0004-0000-0300-000058090000}"/>
    <hyperlink ref="G1998" r:id="rId2394" xr:uid="{00000000-0004-0000-0300-000059090000}"/>
    <hyperlink ref="G1999" r:id="rId2395" xr:uid="{00000000-0004-0000-0300-00005A090000}"/>
    <hyperlink ref="F2000" r:id="rId2396" xr:uid="{00000000-0004-0000-0300-00005B090000}"/>
    <hyperlink ref="G2000" r:id="rId2397" xr:uid="{00000000-0004-0000-0300-00005C090000}"/>
    <hyperlink ref="F2002" r:id="rId2398" xr:uid="{00000000-0004-0000-0300-00005D090000}"/>
    <hyperlink ref="S2004" r:id="rId2399" xr:uid="{00000000-0004-0000-0300-00005E090000}"/>
    <hyperlink ref="F2005" r:id="rId2400" xr:uid="{00000000-0004-0000-0300-00005F090000}"/>
    <hyperlink ref="F2007" r:id="rId2401" xr:uid="{00000000-0004-0000-0300-000060090000}"/>
    <hyperlink ref="G2007" r:id="rId2402" xr:uid="{00000000-0004-0000-0300-000061090000}"/>
    <hyperlink ref="S2007" r:id="rId2403" xr:uid="{00000000-0004-0000-0300-000062090000}"/>
    <hyperlink ref="F2010" r:id="rId2404" xr:uid="{00000000-0004-0000-0300-000063090000}"/>
    <hyperlink ref="S2010" r:id="rId2405" xr:uid="{00000000-0004-0000-0300-000064090000}"/>
    <hyperlink ref="G2013" r:id="rId2406" xr:uid="{00000000-0004-0000-0300-000065090000}"/>
    <hyperlink ref="S2013" r:id="rId2407" xr:uid="{00000000-0004-0000-0300-000066090000}"/>
    <hyperlink ref="G2014" r:id="rId2408" xr:uid="{00000000-0004-0000-0300-000067090000}"/>
    <hyperlink ref="S2014" r:id="rId2409" xr:uid="{00000000-0004-0000-0300-000068090000}"/>
    <hyperlink ref="G2020" r:id="rId2410" xr:uid="{00000000-0004-0000-0300-000069090000}"/>
    <hyperlink ref="S2021" r:id="rId2411" xr:uid="{00000000-0004-0000-0300-00006A090000}"/>
    <hyperlink ref="G2023" r:id="rId2412" xr:uid="{00000000-0004-0000-0300-00006B090000}"/>
    <hyperlink ref="F2025" r:id="rId2413" xr:uid="{00000000-0004-0000-0300-00006C090000}"/>
    <hyperlink ref="G2025" r:id="rId2414" xr:uid="{00000000-0004-0000-0300-00006D090000}"/>
    <hyperlink ref="S2025" r:id="rId2415" xr:uid="{00000000-0004-0000-0300-00006E090000}"/>
    <hyperlink ref="S2026" r:id="rId2416" xr:uid="{00000000-0004-0000-0300-00006F090000}"/>
    <hyperlink ref="G2028" r:id="rId2417" xr:uid="{00000000-0004-0000-0300-000070090000}"/>
    <hyperlink ref="S2028" r:id="rId2418" xr:uid="{00000000-0004-0000-0300-000071090000}"/>
    <hyperlink ref="F2029" r:id="rId2419" xr:uid="{00000000-0004-0000-0300-000072090000}"/>
    <hyperlink ref="S2029" r:id="rId2420" xr:uid="{00000000-0004-0000-0300-000073090000}"/>
    <hyperlink ref="G2032" r:id="rId2421" xr:uid="{00000000-0004-0000-0300-000074090000}"/>
    <hyperlink ref="F2033" r:id="rId2422" xr:uid="{00000000-0004-0000-0300-000075090000}"/>
    <hyperlink ref="F2035" r:id="rId2423" xr:uid="{00000000-0004-0000-0300-000076090000}"/>
    <hyperlink ref="S2035" r:id="rId2424" xr:uid="{00000000-0004-0000-0300-000077090000}"/>
    <hyperlink ref="F2036" r:id="rId2425" xr:uid="{00000000-0004-0000-0300-000078090000}"/>
    <hyperlink ref="G2038" r:id="rId2426" xr:uid="{00000000-0004-0000-0300-000079090000}"/>
    <hyperlink ref="G2039" r:id="rId2427" xr:uid="{00000000-0004-0000-0300-00007A090000}"/>
    <hyperlink ref="S2039" r:id="rId2428" xr:uid="{00000000-0004-0000-0300-00007B090000}"/>
    <hyperlink ref="F2040" r:id="rId2429" xr:uid="{00000000-0004-0000-0300-00007C090000}"/>
    <hyperlink ref="F2041" r:id="rId2430" xr:uid="{00000000-0004-0000-0300-00007D090000}"/>
    <hyperlink ref="F2043" r:id="rId2431" xr:uid="{00000000-0004-0000-0300-00007E090000}"/>
    <hyperlink ref="F2044" r:id="rId2432" xr:uid="{00000000-0004-0000-0300-00007F090000}"/>
    <hyperlink ref="G2046" r:id="rId2433" xr:uid="{00000000-0004-0000-0300-000080090000}"/>
    <hyperlink ref="F2049" r:id="rId2434" xr:uid="{00000000-0004-0000-0300-000081090000}"/>
    <hyperlink ref="F2050" r:id="rId2435" xr:uid="{00000000-0004-0000-0300-000082090000}"/>
    <hyperlink ref="F2053" r:id="rId2436" xr:uid="{00000000-0004-0000-0300-000083090000}"/>
    <hyperlink ref="G2053" r:id="rId2437" xr:uid="{00000000-0004-0000-0300-000084090000}"/>
    <hyperlink ref="G2056" r:id="rId2438" xr:uid="{00000000-0004-0000-0300-000085090000}"/>
    <hyperlink ref="S2056" r:id="rId2439" xr:uid="{00000000-0004-0000-0300-000086090000}"/>
    <hyperlink ref="S2057" r:id="rId2440" xr:uid="{00000000-0004-0000-0300-000087090000}"/>
    <hyperlink ref="G2058" r:id="rId2441" xr:uid="{00000000-0004-0000-0300-000088090000}"/>
    <hyperlink ref="F2059" r:id="rId2442" xr:uid="{00000000-0004-0000-0300-000089090000}"/>
    <hyperlink ref="G2059" r:id="rId2443" xr:uid="{00000000-0004-0000-0300-00008A090000}"/>
    <hyperlink ref="S2059" r:id="rId2444" xr:uid="{00000000-0004-0000-0300-00008B090000}"/>
    <hyperlink ref="F2060" r:id="rId2445" xr:uid="{00000000-0004-0000-0300-00008C090000}"/>
    <hyperlink ref="S2060" r:id="rId2446" xr:uid="{00000000-0004-0000-0300-00008D090000}"/>
    <hyperlink ref="S2064" r:id="rId2447" xr:uid="{00000000-0004-0000-0300-00008E090000}"/>
    <hyperlink ref="G2065" r:id="rId2448" xr:uid="{00000000-0004-0000-0300-00008F090000}"/>
    <hyperlink ref="F2069" r:id="rId2449" xr:uid="{00000000-0004-0000-0300-000090090000}"/>
    <hyperlink ref="F2071" r:id="rId2450" xr:uid="{00000000-0004-0000-0300-000091090000}"/>
    <hyperlink ref="F2073" r:id="rId2451" xr:uid="{00000000-0004-0000-0300-000092090000}"/>
    <hyperlink ref="G2074" r:id="rId2452" xr:uid="{00000000-0004-0000-0300-000093090000}"/>
    <hyperlink ref="S2074" r:id="rId2453" xr:uid="{00000000-0004-0000-0300-000094090000}"/>
    <hyperlink ref="F2075" r:id="rId2454" xr:uid="{00000000-0004-0000-0300-000095090000}"/>
    <hyperlink ref="G2075" r:id="rId2455" xr:uid="{00000000-0004-0000-0300-000096090000}"/>
    <hyperlink ref="G2076" r:id="rId2456" xr:uid="{00000000-0004-0000-0300-000097090000}"/>
    <hyperlink ref="G2077" r:id="rId2457" xr:uid="{00000000-0004-0000-0300-000098090000}"/>
    <hyperlink ref="F2078" r:id="rId2458" xr:uid="{00000000-0004-0000-0300-000099090000}"/>
    <hyperlink ref="S2078" r:id="rId2459" xr:uid="{00000000-0004-0000-0300-00009A090000}"/>
    <hyperlink ref="F2079" r:id="rId2460" xr:uid="{00000000-0004-0000-0300-00009B090000}"/>
    <hyperlink ref="S2079" r:id="rId2461" xr:uid="{00000000-0004-0000-0300-00009C090000}"/>
    <hyperlink ref="G2083" r:id="rId2462" xr:uid="{00000000-0004-0000-0300-00009D090000}"/>
    <hyperlink ref="S2084" r:id="rId2463" xr:uid="{00000000-0004-0000-0300-00009E090000}"/>
    <hyperlink ref="F2087" r:id="rId2464" xr:uid="{00000000-0004-0000-0300-00009F090000}"/>
    <hyperlink ref="F2088" r:id="rId2465" xr:uid="{00000000-0004-0000-0300-0000A0090000}"/>
    <hyperlink ref="G2088" r:id="rId2466" xr:uid="{00000000-0004-0000-0300-0000A1090000}"/>
    <hyperlink ref="G2089" r:id="rId2467" xr:uid="{00000000-0004-0000-0300-0000A2090000}"/>
    <hyperlink ref="S2090" r:id="rId2468" xr:uid="{00000000-0004-0000-0300-0000A3090000}"/>
    <hyperlink ref="F2091" r:id="rId2469" xr:uid="{00000000-0004-0000-0300-0000A4090000}"/>
    <hyperlink ref="S2091" r:id="rId2470" xr:uid="{00000000-0004-0000-0300-0000A5090000}"/>
    <hyperlink ref="G2092" r:id="rId2471" xr:uid="{00000000-0004-0000-0300-0000A6090000}"/>
    <hyperlink ref="S2092" r:id="rId2472" xr:uid="{00000000-0004-0000-0300-0000A7090000}"/>
    <hyperlink ref="F2093" r:id="rId2473" xr:uid="{00000000-0004-0000-0300-0000A8090000}"/>
    <hyperlink ref="G2094" r:id="rId2474" xr:uid="{00000000-0004-0000-0300-0000A9090000}"/>
    <hyperlink ref="S2096" r:id="rId2475" xr:uid="{00000000-0004-0000-0300-0000AA090000}"/>
    <hyperlink ref="S2097" r:id="rId2476" xr:uid="{00000000-0004-0000-0300-0000AB090000}"/>
    <hyperlink ref="F2098" r:id="rId2477" xr:uid="{00000000-0004-0000-0300-0000AC090000}"/>
    <hyperlink ref="G2098" r:id="rId2478" xr:uid="{00000000-0004-0000-0300-0000AD090000}"/>
    <hyperlink ref="F2100" r:id="rId2479" xr:uid="{00000000-0004-0000-0300-0000AE090000}"/>
    <hyperlink ref="G2100" r:id="rId2480" xr:uid="{00000000-0004-0000-0300-0000AF090000}"/>
    <hyperlink ref="F2101" r:id="rId2481" xr:uid="{00000000-0004-0000-0300-0000B0090000}"/>
    <hyperlink ref="S2102" r:id="rId2482" xr:uid="{00000000-0004-0000-0300-0000B1090000}"/>
    <hyperlink ref="F2103" r:id="rId2483" xr:uid="{00000000-0004-0000-0300-0000B2090000}"/>
    <hyperlink ref="G2103" r:id="rId2484" xr:uid="{00000000-0004-0000-0300-0000B3090000}"/>
    <hyperlink ref="G2105" r:id="rId2485" xr:uid="{00000000-0004-0000-0300-0000B4090000}"/>
    <hyperlink ref="G2106" r:id="rId2486" xr:uid="{00000000-0004-0000-0300-0000B5090000}"/>
    <hyperlink ref="S2107" r:id="rId2487" xr:uid="{00000000-0004-0000-0300-0000B6090000}"/>
    <hyperlink ref="S2108" r:id="rId2488" xr:uid="{00000000-0004-0000-0300-0000B7090000}"/>
    <hyperlink ref="S2109" r:id="rId2489" xr:uid="{00000000-0004-0000-0300-0000B8090000}"/>
    <hyperlink ref="F2110" r:id="rId2490" xr:uid="{00000000-0004-0000-0300-0000B9090000}"/>
    <hyperlink ref="G2110" r:id="rId2491" xr:uid="{00000000-0004-0000-0300-0000BA090000}"/>
    <hyperlink ref="S2110" r:id="rId2492" xr:uid="{00000000-0004-0000-0300-0000BB090000}"/>
    <hyperlink ref="F2111" r:id="rId2493" xr:uid="{00000000-0004-0000-0300-0000BC090000}"/>
    <hyperlink ref="S2111" r:id="rId2494" xr:uid="{00000000-0004-0000-0300-0000BD090000}"/>
    <hyperlink ref="S2112" r:id="rId2495" xr:uid="{00000000-0004-0000-0300-0000BE090000}"/>
    <hyperlink ref="F2113" r:id="rId2496" xr:uid="{00000000-0004-0000-0300-0000BF090000}"/>
    <hyperlink ref="G2113" r:id="rId2497" xr:uid="{00000000-0004-0000-0300-0000C0090000}"/>
    <hyperlink ref="S2113" r:id="rId2498" xr:uid="{00000000-0004-0000-0300-0000C1090000}"/>
    <hyperlink ref="S2114" r:id="rId2499" xr:uid="{00000000-0004-0000-0300-0000C2090000}"/>
    <hyperlink ref="G2117" r:id="rId2500" xr:uid="{00000000-0004-0000-0300-0000C3090000}"/>
    <hyperlink ref="F2119" r:id="rId2501" xr:uid="{00000000-0004-0000-0300-0000C4090000}"/>
    <hyperlink ref="S2120" r:id="rId2502" xr:uid="{00000000-0004-0000-0300-0000C5090000}"/>
    <hyperlink ref="F2121" r:id="rId2503" location="click=https://t.co/xjpEzT13en" xr:uid="{00000000-0004-0000-0300-0000C6090000}"/>
    <hyperlink ref="S2121" r:id="rId2504" xr:uid="{00000000-0004-0000-0300-0000C7090000}"/>
    <hyperlink ref="F2122" r:id="rId2505" xr:uid="{00000000-0004-0000-0300-0000C8090000}"/>
    <hyperlink ref="G2125" r:id="rId2506" xr:uid="{00000000-0004-0000-0300-0000C9090000}"/>
    <hyperlink ref="G2126" r:id="rId2507" xr:uid="{00000000-0004-0000-0300-0000CA090000}"/>
    <hyperlink ref="S2127" r:id="rId2508" xr:uid="{00000000-0004-0000-0300-0000CB090000}"/>
    <hyperlink ref="F2128" r:id="rId2509" xr:uid="{00000000-0004-0000-0300-0000CC090000}"/>
    <hyperlink ref="F2129" r:id="rId2510" xr:uid="{00000000-0004-0000-0300-0000CD090000}"/>
    <hyperlink ref="F2130" r:id="rId2511" xr:uid="{00000000-0004-0000-0300-0000CE090000}"/>
    <hyperlink ref="S2130" r:id="rId2512" xr:uid="{00000000-0004-0000-0300-0000CF090000}"/>
    <hyperlink ref="G2132" r:id="rId2513" xr:uid="{00000000-0004-0000-0300-0000D0090000}"/>
    <hyperlink ref="S2132" r:id="rId2514" xr:uid="{00000000-0004-0000-0300-0000D1090000}"/>
    <hyperlink ref="F2133" r:id="rId2515" xr:uid="{00000000-0004-0000-0300-0000D2090000}"/>
    <hyperlink ref="G2134" r:id="rId2516" xr:uid="{00000000-0004-0000-0300-0000D3090000}"/>
    <hyperlink ref="G2136" r:id="rId2517" xr:uid="{00000000-0004-0000-0300-0000D4090000}"/>
    <hyperlink ref="F2137" r:id="rId2518" xr:uid="{00000000-0004-0000-0300-0000D5090000}"/>
    <hyperlink ref="F2143" r:id="rId2519" xr:uid="{00000000-0004-0000-0300-0000D6090000}"/>
    <hyperlink ref="F2144" r:id="rId2520" xr:uid="{00000000-0004-0000-0300-0000D7090000}"/>
    <hyperlink ref="F2145" r:id="rId2521" xr:uid="{00000000-0004-0000-0300-0000D8090000}"/>
    <hyperlink ref="S2147" r:id="rId2522" xr:uid="{00000000-0004-0000-0300-0000D9090000}"/>
    <hyperlink ref="F2149" r:id="rId2523" xr:uid="{00000000-0004-0000-0300-0000DA090000}"/>
    <hyperlink ref="G2149" r:id="rId2524" xr:uid="{00000000-0004-0000-0300-0000DB090000}"/>
    <hyperlink ref="F2150" r:id="rId2525" xr:uid="{00000000-0004-0000-0300-0000DC090000}"/>
    <hyperlink ref="G2152" r:id="rId2526" xr:uid="{00000000-0004-0000-0300-0000DD090000}"/>
    <hyperlink ref="S2153" r:id="rId2527" xr:uid="{00000000-0004-0000-0300-0000DE090000}"/>
    <hyperlink ref="F2154" r:id="rId2528" xr:uid="{00000000-0004-0000-0300-0000DF090000}"/>
    <hyperlink ref="S2155" r:id="rId2529" xr:uid="{00000000-0004-0000-0300-0000E0090000}"/>
    <hyperlink ref="G2156" r:id="rId2530" xr:uid="{00000000-0004-0000-0300-0000E1090000}"/>
    <hyperlink ref="F2157" r:id="rId2531" location=".XAa1IVpZ1Bw.twitter" xr:uid="{00000000-0004-0000-0300-0000E2090000}"/>
    <hyperlink ref="F2158" r:id="rId2532" xr:uid="{00000000-0004-0000-0300-0000E3090000}"/>
    <hyperlink ref="S2160" r:id="rId2533" xr:uid="{00000000-0004-0000-0300-0000E4090000}"/>
    <hyperlink ref="G2161" r:id="rId2534" xr:uid="{00000000-0004-0000-0300-0000E5090000}"/>
    <hyperlink ref="F2163" r:id="rId2535" xr:uid="{00000000-0004-0000-0300-0000E6090000}"/>
    <hyperlink ref="G2163" r:id="rId2536" xr:uid="{00000000-0004-0000-0300-0000E7090000}"/>
    <hyperlink ref="F2166" r:id="rId2537" xr:uid="{00000000-0004-0000-0300-0000E8090000}"/>
    <hyperlink ref="F2167" r:id="rId2538" xr:uid="{00000000-0004-0000-0300-0000E9090000}"/>
    <hyperlink ref="F2170" r:id="rId2539" xr:uid="{00000000-0004-0000-0300-0000EA090000}"/>
    <hyperlink ref="F2171" r:id="rId2540" xr:uid="{00000000-0004-0000-0300-0000EB090000}"/>
    <hyperlink ref="G2173" r:id="rId2541" xr:uid="{00000000-0004-0000-0300-0000EC090000}"/>
    <hyperlink ref="S2173" r:id="rId2542" xr:uid="{00000000-0004-0000-0300-0000ED090000}"/>
    <hyperlink ref="F2174" r:id="rId2543" xr:uid="{00000000-0004-0000-0300-0000EE090000}"/>
    <hyperlink ref="G2176" r:id="rId2544" xr:uid="{00000000-0004-0000-0300-0000EF090000}"/>
    <hyperlink ref="F2177" r:id="rId2545" xr:uid="{00000000-0004-0000-0300-0000F0090000}"/>
    <hyperlink ref="S2177" r:id="rId2546" xr:uid="{00000000-0004-0000-0300-0000F1090000}"/>
    <hyperlink ref="G2180" r:id="rId2547" xr:uid="{00000000-0004-0000-0300-0000F2090000}"/>
    <hyperlink ref="F2181" r:id="rId2548" xr:uid="{00000000-0004-0000-0300-0000F3090000}"/>
    <hyperlink ref="S2182" r:id="rId2549" xr:uid="{00000000-0004-0000-0300-0000F4090000}"/>
    <hyperlink ref="S2183" r:id="rId2550" xr:uid="{00000000-0004-0000-0300-0000F5090000}"/>
    <hyperlink ref="S2184" r:id="rId2551" xr:uid="{00000000-0004-0000-0300-0000F6090000}"/>
    <hyperlink ref="S2190" r:id="rId2552" xr:uid="{00000000-0004-0000-0300-0000F7090000}"/>
    <hyperlink ref="F2191" r:id="rId2553" xr:uid="{00000000-0004-0000-0300-0000F8090000}"/>
    <hyperlink ref="S2191" r:id="rId2554" xr:uid="{00000000-0004-0000-0300-0000F9090000}"/>
    <hyperlink ref="F2193" r:id="rId2555" xr:uid="{00000000-0004-0000-0300-0000FA090000}"/>
    <hyperlink ref="G2193" r:id="rId2556" xr:uid="{00000000-0004-0000-0300-0000FB090000}"/>
    <hyperlink ref="F2196" r:id="rId2557" xr:uid="{00000000-0004-0000-0300-0000FC090000}"/>
    <hyperlink ref="G2196" r:id="rId2558" xr:uid="{00000000-0004-0000-0300-0000FD090000}"/>
    <hyperlink ref="F2197" r:id="rId2559" xr:uid="{00000000-0004-0000-0300-0000FE090000}"/>
    <hyperlink ref="S2198" r:id="rId2560" xr:uid="{00000000-0004-0000-0300-0000FF090000}"/>
    <hyperlink ref="F2199" r:id="rId2561" xr:uid="{00000000-0004-0000-0300-0000000A0000}"/>
    <hyperlink ref="F2200" r:id="rId2562" xr:uid="{00000000-0004-0000-0300-0000010A0000}"/>
    <hyperlink ref="G2201" r:id="rId2563" xr:uid="{00000000-0004-0000-0300-0000020A0000}"/>
    <hyperlink ref="G2202" r:id="rId2564" xr:uid="{00000000-0004-0000-0300-0000030A0000}"/>
    <hyperlink ref="F2206" r:id="rId2565" xr:uid="{00000000-0004-0000-0300-0000040A0000}"/>
    <hyperlink ref="S2206" r:id="rId2566" xr:uid="{00000000-0004-0000-0300-0000050A0000}"/>
    <hyperlink ref="G2207" r:id="rId2567" xr:uid="{00000000-0004-0000-0300-0000060A0000}"/>
    <hyperlink ref="S2207" r:id="rId2568" xr:uid="{00000000-0004-0000-0300-0000070A0000}"/>
    <hyperlink ref="F2208" r:id="rId2569" xr:uid="{00000000-0004-0000-0300-0000080A0000}"/>
    <hyperlink ref="F2210" r:id="rId2570" xr:uid="{00000000-0004-0000-0300-0000090A0000}"/>
    <hyperlink ref="G2213" r:id="rId2571" xr:uid="{00000000-0004-0000-0300-00000A0A0000}"/>
    <hyperlink ref="F2215" r:id="rId2572" location=".XAaQdEG6lHY.twitter" xr:uid="{00000000-0004-0000-0300-00000B0A0000}"/>
    <hyperlink ref="S2216" r:id="rId2573" xr:uid="{00000000-0004-0000-0300-00000C0A0000}"/>
    <hyperlink ref="F2218" r:id="rId2574" location="click=https://t.co/MVyCNBC2WI" xr:uid="{00000000-0004-0000-0300-00000D0A0000}"/>
    <hyperlink ref="G2222" r:id="rId2575" xr:uid="{00000000-0004-0000-0300-00000E0A0000}"/>
    <hyperlink ref="S2223" r:id="rId2576" xr:uid="{00000000-0004-0000-0300-00000F0A0000}"/>
    <hyperlink ref="G2224" r:id="rId2577" xr:uid="{00000000-0004-0000-0300-0000100A0000}"/>
    <hyperlink ref="S2227" r:id="rId2578" xr:uid="{00000000-0004-0000-0300-0000110A0000}"/>
    <hyperlink ref="F2228" r:id="rId2579" xr:uid="{00000000-0004-0000-0300-0000120A0000}"/>
    <hyperlink ref="F2229" r:id="rId2580" xr:uid="{00000000-0004-0000-0300-0000130A0000}"/>
    <hyperlink ref="F2231" r:id="rId2581" xr:uid="{00000000-0004-0000-0300-0000140A0000}"/>
    <hyperlink ref="G2232" r:id="rId2582" xr:uid="{00000000-0004-0000-0300-0000150A0000}"/>
    <hyperlink ref="F2234" r:id="rId2583" xr:uid="{00000000-0004-0000-0300-0000160A0000}"/>
    <hyperlink ref="G2234" r:id="rId2584" xr:uid="{00000000-0004-0000-0300-0000170A0000}"/>
    <hyperlink ref="S2235" r:id="rId2585" xr:uid="{00000000-0004-0000-0300-0000180A0000}"/>
    <hyperlink ref="F2236" r:id="rId2586" xr:uid="{00000000-0004-0000-0300-0000190A0000}"/>
    <hyperlink ref="G2236" r:id="rId2587" xr:uid="{00000000-0004-0000-0300-00001A0A0000}"/>
    <hyperlink ref="G2237" r:id="rId2588" xr:uid="{00000000-0004-0000-0300-00001B0A0000}"/>
    <hyperlink ref="G2239" r:id="rId2589" xr:uid="{00000000-0004-0000-0300-00001C0A0000}"/>
    <hyperlink ref="F2240" r:id="rId2590" xr:uid="{00000000-0004-0000-0300-00001D0A0000}"/>
    <hyperlink ref="G2240" r:id="rId2591" xr:uid="{00000000-0004-0000-0300-00001E0A0000}"/>
    <hyperlink ref="S2240" r:id="rId2592" xr:uid="{00000000-0004-0000-0300-00001F0A0000}"/>
    <hyperlink ref="S2243" r:id="rId2593" xr:uid="{00000000-0004-0000-0300-0000200A0000}"/>
    <hyperlink ref="S2244" r:id="rId2594" xr:uid="{00000000-0004-0000-0300-0000210A0000}"/>
    <hyperlink ref="F2245" r:id="rId2595" xr:uid="{00000000-0004-0000-0300-0000220A0000}"/>
    <hyperlink ref="S2245" r:id="rId2596" xr:uid="{00000000-0004-0000-0300-0000230A0000}"/>
    <hyperlink ref="F2246" r:id="rId2597" xr:uid="{00000000-0004-0000-0300-0000240A0000}"/>
    <hyperlink ref="G2246" r:id="rId2598" xr:uid="{00000000-0004-0000-0300-0000250A0000}"/>
    <hyperlink ref="F2248" r:id="rId2599" xr:uid="{00000000-0004-0000-0300-0000260A0000}"/>
    <hyperlink ref="F2249" r:id="rId2600" xr:uid="{00000000-0004-0000-0300-0000270A0000}"/>
    <hyperlink ref="S2249" r:id="rId2601" xr:uid="{00000000-0004-0000-0300-0000280A0000}"/>
    <hyperlink ref="G2250" r:id="rId2602" xr:uid="{00000000-0004-0000-0300-0000290A0000}"/>
    <hyperlink ref="S2250" r:id="rId2603" xr:uid="{00000000-0004-0000-0300-00002A0A0000}"/>
    <hyperlink ref="C2253" r:id="rId2604" xr:uid="{00000000-0004-0000-0300-00002B0A0000}"/>
    <hyperlink ref="F2253" r:id="rId2605" xr:uid="{00000000-0004-0000-0300-00002C0A0000}"/>
    <hyperlink ref="S2253" r:id="rId2606" xr:uid="{00000000-0004-0000-0300-00002D0A0000}"/>
    <hyperlink ref="S2255" r:id="rId2607" xr:uid="{00000000-0004-0000-0300-00002E0A0000}"/>
    <hyperlink ref="S2258" r:id="rId2608" xr:uid="{00000000-0004-0000-0300-00002F0A0000}"/>
    <hyperlink ref="F2259" r:id="rId2609" xr:uid="{00000000-0004-0000-0300-0000300A0000}"/>
    <hyperlink ref="G2259" r:id="rId2610" xr:uid="{00000000-0004-0000-0300-0000310A0000}"/>
    <hyperlink ref="S2259" r:id="rId2611" xr:uid="{00000000-0004-0000-0300-0000320A0000}"/>
    <hyperlink ref="F2260" r:id="rId2612" xr:uid="{00000000-0004-0000-0300-0000330A0000}"/>
    <hyperlink ref="G2261" r:id="rId2613" xr:uid="{00000000-0004-0000-0300-0000340A0000}"/>
    <hyperlink ref="F2262" r:id="rId2614" xr:uid="{00000000-0004-0000-0300-0000350A0000}"/>
    <hyperlink ref="S2264" r:id="rId2615" xr:uid="{00000000-0004-0000-0300-0000360A0000}"/>
    <hyperlink ref="G2265" r:id="rId2616" xr:uid="{00000000-0004-0000-0300-0000370A0000}"/>
    <hyperlink ref="G2266" r:id="rId2617" xr:uid="{00000000-0004-0000-0300-0000380A0000}"/>
    <hyperlink ref="S2267" r:id="rId2618" xr:uid="{00000000-0004-0000-0300-0000390A0000}"/>
    <hyperlink ref="F2269" r:id="rId2619" xr:uid="{00000000-0004-0000-0300-00003A0A0000}"/>
    <hyperlink ref="S2269" r:id="rId2620" xr:uid="{00000000-0004-0000-0300-00003B0A0000}"/>
    <hyperlink ref="F2270" r:id="rId2621" xr:uid="{00000000-0004-0000-0300-00003C0A0000}"/>
    <hyperlink ref="G2273" r:id="rId2622" xr:uid="{00000000-0004-0000-0300-00003D0A0000}"/>
    <hyperlink ref="S2273" r:id="rId2623" xr:uid="{00000000-0004-0000-0300-00003E0A0000}"/>
    <hyperlink ref="G2276" r:id="rId2624" xr:uid="{00000000-0004-0000-0300-00003F0A0000}"/>
    <hyperlink ref="S2276" r:id="rId2625" xr:uid="{00000000-0004-0000-0300-0000400A0000}"/>
    <hyperlink ref="S2277" r:id="rId2626" xr:uid="{00000000-0004-0000-0300-0000410A0000}"/>
    <hyperlink ref="S2279" r:id="rId2627" xr:uid="{00000000-0004-0000-0300-0000420A0000}"/>
    <hyperlink ref="F2280" r:id="rId2628" xr:uid="{00000000-0004-0000-0300-0000430A0000}"/>
    <hyperlink ref="S2280" r:id="rId2629" xr:uid="{00000000-0004-0000-0300-0000440A0000}"/>
    <hyperlink ref="F2281" r:id="rId2630" xr:uid="{00000000-0004-0000-0300-0000450A0000}"/>
    <hyperlink ref="F2282" r:id="rId2631" xr:uid="{00000000-0004-0000-0300-0000460A0000}"/>
    <hyperlink ref="S2283" r:id="rId2632" xr:uid="{00000000-0004-0000-0300-0000470A0000}"/>
    <hyperlink ref="G2284" r:id="rId2633" xr:uid="{00000000-0004-0000-0300-0000480A0000}"/>
    <hyperlink ref="S2285" r:id="rId2634" xr:uid="{00000000-0004-0000-0300-0000490A0000}"/>
    <hyperlink ref="F2286" r:id="rId2635" xr:uid="{00000000-0004-0000-0300-00004A0A0000}"/>
    <hyperlink ref="F2287" r:id="rId2636" xr:uid="{00000000-0004-0000-0300-00004B0A0000}"/>
    <hyperlink ref="F2290" r:id="rId2637" xr:uid="{00000000-0004-0000-0300-00004C0A0000}"/>
    <hyperlink ref="S2290" r:id="rId2638" xr:uid="{00000000-0004-0000-0300-00004D0A0000}"/>
    <hyperlink ref="F2293" r:id="rId2639" xr:uid="{00000000-0004-0000-0300-00004E0A0000}"/>
    <hyperlink ref="S2293" r:id="rId2640" xr:uid="{00000000-0004-0000-0300-00004F0A0000}"/>
    <hyperlink ref="S2294" r:id="rId2641" xr:uid="{00000000-0004-0000-0300-0000500A0000}"/>
    <hyperlink ref="F2295" r:id="rId2642" xr:uid="{00000000-0004-0000-0300-0000510A0000}"/>
    <hyperlink ref="S2295" r:id="rId2643" xr:uid="{00000000-0004-0000-0300-0000520A0000}"/>
    <hyperlink ref="G2297" r:id="rId2644" xr:uid="{00000000-0004-0000-0300-0000530A0000}"/>
    <hyperlink ref="S2297" r:id="rId2645" xr:uid="{00000000-0004-0000-0300-0000540A0000}"/>
    <hyperlink ref="F2299" r:id="rId2646" xr:uid="{00000000-0004-0000-0300-0000550A0000}"/>
    <hyperlink ref="G2299" r:id="rId2647" xr:uid="{00000000-0004-0000-0300-0000560A0000}"/>
    <hyperlink ref="G2302" r:id="rId2648" xr:uid="{00000000-0004-0000-0300-0000570A0000}"/>
    <hyperlink ref="G2306" r:id="rId2649" xr:uid="{00000000-0004-0000-0300-0000580A0000}"/>
    <hyperlink ref="F2307" r:id="rId2650" xr:uid="{00000000-0004-0000-0300-0000590A0000}"/>
    <hyperlink ref="G2308" r:id="rId2651" xr:uid="{00000000-0004-0000-0300-00005A0A0000}"/>
    <hyperlink ref="G2309" r:id="rId2652" xr:uid="{00000000-0004-0000-0300-00005B0A0000}"/>
    <hyperlink ref="G2310" r:id="rId2653" xr:uid="{00000000-0004-0000-0300-00005C0A0000}"/>
    <hyperlink ref="S2310" r:id="rId2654" xr:uid="{00000000-0004-0000-0300-00005D0A0000}"/>
    <hyperlink ref="F2312" r:id="rId2655" xr:uid="{00000000-0004-0000-0300-00005E0A0000}"/>
    <hyperlink ref="S2312" r:id="rId2656" xr:uid="{00000000-0004-0000-0300-00005F0A0000}"/>
    <hyperlink ref="F2313" r:id="rId2657" xr:uid="{00000000-0004-0000-0300-0000600A0000}"/>
    <hyperlink ref="G2313" r:id="rId2658" xr:uid="{00000000-0004-0000-0300-0000610A0000}"/>
    <hyperlink ref="S2315" r:id="rId2659" xr:uid="{00000000-0004-0000-0300-0000620A0000}"/>
    <hyperlink ref="G2319" r:id="rId2660" xr:uid="{00000000-0004-0000-0300-0000630A0000}"/>
    <hyperlink ref="F2322" r:id="rId2661" xr:uid="{00000000-0004-0000-0300-0000640A0000}"/>
    <hyperlink ref="G2322" r:id="rId2662" xr:uid="{00000000-0004-0000-0300-0000650A0000}"/>
    <hyperlink ref="G2323" r:id="rId2663" xr:uid="{00000000-0004-0000-0300-0000660A0000}"/>
    <hyperlink ref="S2323" r:id="rId2664" xr:uid="{00000000-0004-0000-0300-0000670A0000}"/>
    <hyperlink ref="G2324" r:id="rId2665" xr:uid="{00000000-0004-0000-0300-0000680A0000}"/>
    <hyperlink ref="F2325" r:id="rId2666" xr:uid="{00000000-0004-0000-0300-0000690A0000}"/>
    <hyperlink ref="G2325" r:id="rId2667" xr:uid="{00000000-0004-0000-0300-00006A0A0000}"/>
    <hyperlink ref="S2325" r:id="rId2668" xr:uid="{00000000-0004-0000-0300-00006B0A0000}"/>
    <hyperlink ref="G2327" r:id="rId2669" xr:uid="{00000000-0004-0000-0300-00006C0A0000}"/>
    <hyperlink ref="S2327" r:id="rId2670" xr:uid="{00000000-0004-0000-0300-00006D0A0000}"/>
    <hyperlink ref="F2328" r:id="rId2671" xr:uid="{00000000-0004-0000-0300-00006E0A0000}"/>
    <hyperlink ref="S2328" r:id="rId2672" xr:uid="{00000000-0004-0000-0300-00006F0A0000}"/>
    <hyperlink ref="F2329" r:id="rId2673" xr:uid="{00000000-0004-0000-0300-0000700A0000}"/>
    <hyperlink ref="S2331" r:id="rId2674" xr:uid="{00000000-0004-0000-0300-0000710A0000}"/>
    <hyperlink ref="F2332" r:id="rId2675" xr:uid="{00000000-0004-0000-0300-0000720A0000}"/>
    <hyperlink ref="S2332" r:id="rId2676" xr:uid="{00000000-0004-0000-0300-0000730A0000}"/>
    <hyperlink ref="G2333" r:id="rId2677" xr:uid="{00000000-0004-0000-0300-0000740A0000}"/>
    <hyperlink ref="G2334" r:id="rId2678" xr:uid="{00000000-0004-0000-0300-0000750A0000}"/>
    <hyperlink ref="G2336" r:id="rId2679" xr:uid="{00000000-0004-0000-0300-0000760A0000}"/>
    <hyperlink ref="G2340" r:id="rId2680" xr:uid="{00000000-0004-0000-0300-0000770A0000}"/>
    <hyperlink ref="F2343" r:id="rId2681" xr:uid="{00000000-0004-0000-0300-0000780A0000}"/>
    <hyperlink ref="F2346" r:id="rId2682" xr:uid="{00000000-0004-0000-0300-0000790A0000}"/>
    <hyperlink ref="F2349" r:id="rId2683" xr:uid="{00000000-0004-0000-0300-00007A0A0000}"/>
    <hyperlink ref="G2350" r:id="rId2684" xr:uid="{00000000-0004-0000-0300-00007B0A0000}"/>
    <hyperlink ref="G2352" r:id="rId2685" xr:uid="{00000000-0004-0000-0300-00007C0A0000}"/>
    <hyperlink ref="S2352" r:id="rId2686" xr:uid="{00000000-0004-0000-0300-00007D0A0000}"/>
    <hyperlink ref="F2353" r:id="rId2687" xr:uid="{00000000-0004-0000-0300-00007E0A0000}"/>
    <hyperlink ref="G2353" r:id="rId2688" xr:uid="{00000000-0004-0000-0300-00007F0A0000}"/>
    <hyperlink ref="F2355" r:id="rId2689" xr:uid="{00000000-0004-0000-0300-0000800A0000}"/>
    <hyperlink ref="S2355" r:id="rId2690" xr:uid="{00000000-0004-0000-0300-0000810A0000}"/>
    <hyperlink ref="G2357" r:id="rId2691" xr:uid="{00000000-0004-0000-0300-0000820A0000}"/>
    <hyperlink ref="S2357" r:id="rId2692" location="!/mercedes.mosquerabango.7?ref=bookmark" xr:uid="{00000000-0004-0000-0300-0000830A0000}"/>
    <hyperlink ref="F2360" r:id="rId2693" xr:uid="{00000000-0004-0000-0300-0000840A0000}"/>
    <hyperlink ref="G2360" r:id="rId2694" xr:uid="{00000000-0004-0000-0300-0000850A0000}"/>
    <hyperlink ref="G2361" r:id="rId2695" xr:uid="{00000000-0004-0000-0300-0000860A0000}"/>
    <hyperlink ref="F2365" r:id="rId2696" xr:uid="{00000000-0004-0000-0300-0000870A0000}"/>
    <hyperlink ref="S2365" r:id="rId2697" xr:uid="{00000000-0004-0000-0300-0000880A0000}"/>
    <hyperlink ref="G2366" r:id="rId2698" xr:uid="{00000000-0004-0000-0300-0000890A0000}"/>
    <hyperlink ref="S2367" r:id="rId2699" xr:uid="{00000000-0004-0000-0300-00008A0A0000}"/>
    <hyperlink ref="G2368" r:id="rId2700" xr:uid="{00000000-0004-0000-0300-00008B0A0000}"/>
    <hyperlink ref="S2368" r:id="rId2701" xr:uid="{00000000-0004-0000-0300-00008C0A0000}"/>
    <hyperlink ref="S2370" r:id="rId2702" xr:uid="{00000000-0004-0000-0300-00008D0A0000}"/>
    <hyperlink ref="F2371" r:id="rId2703" xr:uid="{00000000-0004-0000-0300-00008E0A0000}"/>
    <hyperlink ref="S2371" r:id="rId2704" xr:uid="{00000000-0004-0000-0300-00008F0A0000}"/>
    <hyperlink ref="G2374" r:id="rId2705" xr:uid="{00000000-0004-0000-0300-0000900A0000}"/>
    <hyperlink ref="S2374" r:id="rId2706" xr:uid="{00000000-0004-0000-0300-0000910A0000}"/>
    <hyperlink ref="G2375" r:id="rId2707" xr:uid="{00000000-0004-0000-0300-0000920A0000}"/>
    <hyperlink ref="G2377" r:id="rId2708" xr:uid="{00000000-0004-0000-0300-0000930A0000}"/>
    <hyperlink ref="S2379" r:id="rId2709" xr:uid="{00000000-0004-0000-0300-0000940A0000}"/>
    <hyperlink ref="S2381" r:id="rId2710" xr:uid="{00000000-0004-0000-0300-0000950A0000}"/>
    <hyperlink ref="S2383" r:id="rId2711" xr:uid="{00000000-0004-0000-0300-0000960A0000}"/>
    <hyperlink ref="F2384" r:id="rId2712" xr:uid="{00000000-0004-0000-0300-0000970A0000}"/>
    <hyperlink ref="S2384" r:id="rId2713" xr:uid="{00000000-0004-0000-0300-0000980A0000}"/>
    <hyperlink ref="F2387" r:id="rId2714" xr:uid="{00000000-0004-0000-0300-0000990A0000}"/>
    <hyperlink ref="G2387" r:id="rId2715" xr:uid="{00000000-0004-0000-0300-00009A0A0000}"/>
    <hyperlink ref="S2387" r:id="rId2716" xr:uid="{00000000-0004-0000-0300-00009B0A0000}"/>
    <hyperlink ref="F2390" r:id="rId2717" location="ns_campaign=amp-rrss-inducido&amp;ns_mchannel=abcdesevilla-es&amp;ns_source=tw&amp;ns_linkname=noticia.video&amp;ns_fee=0" xr:uid="{00000000-0004-0000-0300-00009C0A0000}"/>
    <hyperlink ref="S2390" r:id="rId2718" xr:uid="{00000000-0004-0000-0300-00009D0A0000}"/>
    <hyperlink ref="F2391" r:id="rId2719" xr:uid="{00000000-0004-0000-0300-00009E0A0000}"/>
    <hyperlink ref="S2391" r:id="rId2720" xr:uid="{00000000-0004-0000-0300-00009F0A0000}"/>
    <hyperlink ref="G2393" r:id="rId2721" xr:uid="{00000000-0004-0000-0300-0000A00A0000}"/>
    <hyperlink ref="F2395" r:id="rId2722" xr:uid="{00000000-0004-0000-0300-0000A10A0000}"/>
    <hyperlink ref="S2395" r:id="rId2723" xr:uid="{00000000-0004-0000-0300-0000A20A0000}"/>
    <hyperlink ref="S2397" r:id="rId2724" xr:uid="{00000000-0004-0000-0300-0000A30A0000}"/>
    <hyperlink ref="S2398" r:id="rId2725" xr:uid="{00000000-0004-0000-0300-0000A40A0000}"/>
    <hyperlink ref="F2399" r:id="rId2726" xr:uid="{00000000-0004-0000-0300-0000A50A0000}"/>
    <hyperlink ref="S2399" r:id="rId2727" xr:uid="{00000000-0004-0000-0300-0000A60A0000}"/>
    <hyperlink ref="G2400" r:id="rId2728" xr:uid="{00000000-0004-0000-0300-0000A70A0000}"/>
    <hyperlink ref="S2403" r:id="rId2729" xr:uid="{00000000-0004-0000-0300-0000A80A0000}"/>
    <hyperlink ref="F2404" r:id="rId2730" xr:uid="{00000000-0004-0000-0300-0000A90A0000}"/>
    <hyperlink ref="S2408" r:id="rId2731" xr:uid="{00000000-0004-0000-0300-0000AA0A0000}"/>
    <hyperlink ref="G2409" r:id="rId2732" xr:uid="{00000000-0004-0000-0300-0000AB0A0000}"/>
    <hyperlink ref="S2409" r:id="rId2733" xr:uid="{00000000-0004-0000-0300-0000AC0A0000}"/>
    <hyperlink ref="F2410" r:id="rId2734" xr:uid="{00000000-0004-0000-0300-0000AD0A0000}"/>
    <hyperlink ref="F2414" r:id="rId2735" xr:uid="{00000000-0004-0000-0300-0000AE0A0000}"/>
    <hyperlink ref="S2414" r:id="rId2736" xr:uid="{00000000-0004-0000-0300-0000AF0A0000}"/>
    <hyperlink ref="F2415" r:id="rId2737" xr:uid="{00000000-0004-0000-0300-0000B00A0000}"/>
    <hyperlink ref="S2415" r:id="rId2738" xr:uid="{00000000-0004-0000-0300-0000B10A0000}"/>
    <hyperlink ref="G2416" r:id="rId2739" xr:uid="{00000000-0004-0000-0300-0000B20A0000}"/>
    <hyperlink ref="F2417" r:id="rId2740" location=".XAY9uk7rngQ.twitter" xr:uid="{00000000-0004-0000-0300-0000B30A0000}"/>
    <hyperlink ref="S2417" r:id="rId2741" xr:uid="{00000000-0004-0000-0300-0000B40A0000}"/>
    <hyperlink ref="F2421" r:id="rId2742" xr:uid="{00000000-0004-0000-0300-0000B50A0000}"/>
    <hyperlink ref="F2422" r:id="rId2743" xr:uid="{00000000-0004-0000-0300-0000B60A0000}"/>
    <hyperlink ref="F2423" r:id="rId2744" xr:uid="{00000000-0004-0000-0300-0000B70A0000}"/>
    <hyperlink ref="G2423" r:id="rId2745" xr:uid="{00000000-0004-0000-0300-0000B80A0000}"/>
    <hyperlink ref="S2423" r:id="rId2746" xr:uid="{00000000-0004-0000-0300-0000B90A0000}"/>
    <hyperlink ref="F2428" r:id="rId2747" xr:uid="{00000000-0004-0000-0300-0000BA0A0000}"/>
    <hyperlink ref="G2429" r:id="rId2748" xr:uid="{00000000-0004-0000-0300-0000BB0A0000}"/>
    <hyperlink ref="G2430" r:id="rId2749" xr:uid="{00000000-0004-0000-0300-0000BC0A0000}"/>
    <hyperlink ref="S2430" r:id="rId2750" xr:uid="{00000000-0004-0000-0300-0000BD0A0000}"/>
    <hyperlink ref="G2433" r:id="rId2751" xr:uid="{00000000-0004-0000-0300-0000BE0A0000}"/>
    <hyperlink ref="S2435" r:id="rId2752" xr:uid="{00000000-0004-0000-0300-0000BF0A0000}"/>
    <hyperlink ref="S2436" r:id="rId2753" xr:uid="{00000000-0004-0000-0300-0000C00A0000}"/>
    <hyperlink ref="F2437" r:id="rId2754" xr:uid="{00000000-0004-0000-0300-0000C10A0000}"/>
    <hyperlink ref="G2437" r:id="rId2755" xr:uid="{00000000-0004-0000-0300-0000C20A0000}"/>
    <hyperlink ref="F2438" r:id="rId2756" xr:uid="{00000000-0004-0000-0300-0000C30A0000}"/>
    <hyperlink ref="S2438" r:id="rId2757" xr:uid="{00000000-0004-0000-0300-0000C40A0000}"/>
    <hyperlink ref="F2439" r:id="rId2758" xr:uid="{00000000-0004-0000-0300-0000C50A0000}"/>
    <hyperlink ref="F2440" r:id="rId2759" xr:uid="{00000000-0004-0000-0300-0000C60A0000}"/>
    <hyperlink ref="G2443" r:id="rId2760" xr:uid="{00000000-0004-0000-0300-0000C70A0000}"/>
    <hyperlink ref="S2443" r:id="rId2761" xr:uid="{00000000-0004-0000-0300-0000C80A0000}"/>
    <hyperlink ref="F2444" r:id="rId2762" xr:uid="{00000000-0004-0000-0300-0000C90A0000}"/>
    <hyperlink ref="F2447" r:id="rId2763" xr:uid="{00000000-0004-0000-0300-0000CA0A0000}"/>
    <hyperlink ref="S2447" r:id="rId2764" xr:uid="{00000000-0004-0000-0300-0000CB0A0000}"/>
    <hyperlink ref="G2448" r:id="rId2765" xr:uid="{00000000-0004-0000-0300-0000CC0A0000}"/>
    <hyperlink ref="S2448" r:id="rId2766" xr:uid="{00000000-0004-0000-0300-0000CD0A0000}"/>
    <hyperlink ref="S2450" r:id="rId2767" xr:uid="{00000000-0004-0000-0300-0000CE0A0000}"/>
    <hyperlink ref="F2451" r:id="rId2768" xr:uid="{00000000-0004-0000-0300-0000CF0A0000}"/>
    <hyperlink ref="G2451" r:id="rId2769" xr:uid="{00000000-0004-0000-0300-0000D00A0000}"/>
    <hyperlink ref="G2455" r:id="rId2770" xr:uid="{00000000-0004-0000-0300-0000D10A0000}"/>
    <hyperlink ref="S2455" r:id="rId2771" xr:uid="{00000000-0004-0000-0300-0000D20A0000}"/>
    <hyperlink ref="S2456" r:id="rId2772" xr:uid="{00000000-0004-0000-0300-0000D30A0000}"/>
    <hyperlink ref="F2458" r:id="rId2773" xr:uid="{00000000-0004-0000-0300-0000D40A0000}"/>
    <hyperlink ref="G2459" r:id="rId2774" xr:uid="{00000000-0004-0000-0300-0000D50A0000}"/>
    <hyperlink ref="G2460" r:id="rId2775" xr:uid="{00000000-0004-0000-0300-0000D60A0000}"/>
    <hyperlink ref="S2460" r:id="rId2776" xr:uid="{00000000-0004-0000-0300-0000D70A0000}"/>
    <hyperlink ref="F2462" r:id="rId2777" xr:uid="{00000000-0004-0000-0300-0000D80A0000}"/>
    <hyperlink ref="F2463" r:id="rId2778" xr:uid="{00000000-0004-0000-0300-0000D90A0000}"/>
    <hyperlink ref="F2464" r:id="rId2779" xr:uid="{00000000-0004-0000-0300-0000DA0A0000}"/>
    <hyperlink ref="S2464" r:id="rId2780" xr:uid="{00000000-0004-0000-0300-0000DB0A0000}"/>
    <hyperlink ref="G2465" r:id="rId2781" xr:uid="{00000000-0004-0000-0300-0000DC0A0000}"/>
    <hyperlink ref="S2465" r:id="rId2782" xr:uid="{00000000-0004-0000-0300-0000DD0A0000}"/>
    <hyperlink ref="F2468" r:id="rId2783" xr:uid="{00000000-0004-0000-0300-0000DE0A0000}"/>
    <hyperlink ref="S2468" r:id="rId2784" xr:uid="{00000000-0004-0000-0300-0000DF0A0000}"/>
    <hyperlink ref="F2469" r:id="rId2785" location="ns_campaign=rrss-inducido&amp;ns_mchannel=abcdesevilla-es&amp;ns_source=tw&amp;ns_linkname=noticia-video&amp;ns_fee=0" xr:uid="{00000000-0004-0000-0300-0000E00A0000}"/>
    <hyperlink ref="F2472" r:id="rId2786" xr:uid="{00000000-0004-0000-0300-0000E10A0000}"/>
    <hyperlink ref="G2472" r:id="rId2787" xr:uid="{00000000-0004-0000-0300-0000E20A0000}"/>
    <hyperlink ref="C2474" r:id="rId2788" xr:uid="{00000000-0004-0000-0300-0000E30A0000}"/>
    <hyperlink ref="F2474" r:id="rId2789" xr:uid="{00000000-0004-0000-0300-0000E40A0000}"/>
    <hyperlink ref="S2474" r:id="rId2790" xr:uid="{00000000-0004-0000-0300-0000E50A0000}"/>
    <hyperlink ref="F2475" r:id="rId2791" xr:uid="{00000000-0004-0000-0300-0000E60A0000}"/>
    <hyperlink ref="F2478" r:id="rId2792" xr:uid="{00000000-0004-0000-0300-0000E70A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Albert Rivera langes -filterret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2018-12-10T18:09:01Z</dcterms:modified>
</cp:coreProperties>
</file>